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12"/>
  <workbookPr updateLinks="never" defaultThemeVersion="166925"/>
  <mc:AlternateContent xmlns:mc="http://schemas.openxmlformats.org/markup-compatibility/2006">
    <mc:Choice Requires="x15">
      <x15ac:absPath xmlns:x15ac="http://schemas.microsoft.com/office/spreadsheetml/2010/11/ac" url="Q:\Delivery\Projects\IAU\WandE\ED15537_NE Nutrient Buget Calculators\3 Project Delivery\2 Final Deliverable\Issued\Calculator_edits_20220531\"/>
    </mc:Choice>
  </mc:AlternateContent>
  <xr:revisionPtr revIDLastSave="0" documentId="8_{6D55E2D8-31FE-4670-B999-EF286258CACF}" xr6:coauthVersionLast="47" xr6:coauthVersionMax="47" xr10:uidLastSave="{00000000-0000-0000-0000-000000000000}"/>
  <workbookProtection workbookAlgorithmName="SHA-512" workbookHashValue="Ym2aJZzryBFxdu0UU5BgS4lCj9lxUVm3HMJOt5pQXVJzkGUHHktzCBPeTiUswaIovNT43tMg9gu99742C69EDw==" workbookSaltValue="OmdTHIlkNyXPFr8ID8JTrA==" workbookSpinCount="100000" lockStructure="1"/>
  <bookViews>
    <workbookView xWindow="-120" yWindow="-120" windowWidth="20730" windowHeight="11160" xr2:uid="{82A04952-E2FF-4A89-87AE-39010027FF5F}"/>
  </bookViews>
  <sheets>
    <sheet name="Intro" sheetId="6" r:id="rId1"/>
    <sheet name="Background" sheetId="16" r:id="rId2"/>
    <sheet name="Stodmarsh SAC and Ramsar" sheetId="15" r:id="rId3"/>
    <sheet name="Instructions" sheetId="17" r:id="rId4"/>
    <sheet name="Development site details" sheetId="2" r:id="rId5"/>
    <sheet name="Stage 1" sheetId="7" r:id="rId6"/>
    <sheet name="Stage 2" sheetId="8" r:id="rId7"/>
    <sheet name="Stage 3" sheetId="9" r:id="rId8"/>
    <sheet name="Stage 4" sheetId="10" r:id="rId9"/>
    <sheet name="Stage 4 (2)" sheetId="13" state="hidden" r:id="rId10"/>
    <sheet name="Lookups" sheetId="3" r:id="rId11"/>
  </sheets>
  <externalReferences>
    <externalReference r:id="rId1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30" i="3" l="1"/>
  <c r="M33" i="3"/>
  <c r="M36" i="3"/>
  <c r="M39" i="3"/>
  <c r="M42" i="3"/>
  <c r="M46" i="3"/>
  <c r="M50" i="3"/>
  <c r="M53" i="3"/>
  <c r="M55" i="3"/>
  <c r="M60" i="3"/>
  <c r="M63" i="3"/>
  <c r="M64" i="3"/>
  <c r="M67" i="3"/>
  <c r="M69" i="3"/>
  <c r="M73" i="3"/>
  <c r="M75" i="3"/>
  <c r="M77" i="3"/>
  <c r="M80" i="3"/>
  <c r="M84" i="3"/>
  <c r="M86" i="3"/>
  <c r="M90" i="3"/>
  <c r="M93" i="3"/>
  <c r="M97" i="3"/>
  <c r="M101" i="3"/>
  <c r="M105" i="3"/>
  <c r="M108" i="3"/>
  <c r="M109" i="3"/>
  <c r="M113" i="3"/>
  <c r="M117" i="3"/>
  <c r="M120" i="3"/>
  <c r="M124" i="3"/>
  <c r="M125" i="3"/>
  <c r="M127" i="3"/>
  <c r="M128" i="3"/>
  <c r="M132" i="3"/>
  <c r="M133" i="3"/>
  <c r="M134" i="3"/>
  <c r="M137" i="3"/>
  <c r="M140" i="3"/>
  <c r="M141" i="3"/>
  <c r="L141" i="3"/>
  <c r="L140" i="3"/>
  <c r="L137" i="3"/>
  <c r="L134" i="3"/>
  <c r="L133" i="3"/>
  <c r="L132" i="3"/>
  <c r="L128" i="3"/>
  <c r="L127" i="3"/>
  <c r="L125" i="3"/>
  <c r="L124" i="3"/>
  <c r="L120" i="3"/>
  <c r="L117" i="3"/>
  <c r="L113" i="3"/>
  <c r="L109" i="3"/>
  <c r="L108" i="3"/>
  <c r="L105" i="3"/>
  <c r="L101" i="3"/>
  <c r="L97" i="3"/>
  <c r="L93" i="3"/>
  <c r="L90" i="3"/>
  <c r="L86" i="3"/>
  <c r="L84" i="3"/>
  <c r="L80" i="3"/>
  <c r="L77" i="3"/>
  <c r="L75" i="3"/>
  <c r="L73" i="3"/>
  <c r="L69" i="3"/>
  <c r="L67" i="3"/>
  <c r="L64" i="3"/>
  <c r="L63" i="3"/>
  <c r="L60" i="3"/>
  <c r="L55" i="3"/>
  <c r="L53" i="3"/>
  <c r="L50" i="3"/>
  <c r="L46" i="3"/>
  <c r="L42" i="3"/>
  <c r="L39" i="3"/>
  <c r="L36" i="3"/>
  <c r="L33" i="3"/>
  <c r="L30" i="3"/>
  <c r="O30" i="3"/>
  <c r="O33" i="3"/>
  <c r="O36" i="3"/>
  <c r="O39" i="3"/>
  <c r="O42" i="3"/>
  <c r="O46" i="3"/>
  <c r="N42" i="3"/>
  <c r="N39" i="3"/>
  <c r="N36" i="3"/>
  <c r="N33" i="3"/>
  <c r="N30" i="3"/>
  <c r="N46"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77" i="3"/>
  <c r="K78" i="3"/>
  <c r="K79" i="3"/>
  <c r="K80" i="3"/>
  <c r="K81" i="3"/>
  <c r="K82" i="3"/>
  <c r="K83" i="3"/>
  <c r="K84" i="3"/>
  <c r="K85" i="3"/>
  <c r="K86" i="3"/>
  <c r="K87" i="3"/>
  <c r="K88" i="3"/>
  <c r="K89" i="3"/>
  <c r="K90" i="3"/>
  <c r="K91" i="3"/>
  <c r="K92" i="3"/>
  <c r="K93" i="3"/>
  <c r="K94" i="3"/>
  <c r="K95" i="3"/>
  <c r="K96" i="3"/>
  <c r="K97" i="3"/>
  <c r="K98" i="3"/>
  <c r="K99" i="3"/>
  <c r="K100" i="3"/>
  <c r="K101" i="3"/>
  <c r="K102" i="3"/>
  <c r="K76" i="3"/>
  <c r="H76" i="3"/>
  <c r="H142"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E22" i="8"/>
  <c r="E23" i="8"/>
  <c r="E24" i="8"/>
  <c r="E25" i="8"/>
  <c r="E26" i="8"/>
  <c r="E31" i="8"/>
  <c r="F22" i="8"/>
  <c r="F23" i="8"/>
  <c r="F24" i="8"/>
  <c r="F25" i="8"/>
  <c r="F26" i="8"/>
  <c r="F31" i="8"/>
  <c r="D14" i="7" l="1"/>
  <c r="H22" i="7" s="1"/>
  <c r="F11" i="9"/>
  <c r="F12" i="9"/>
  <c r="F13" i="9"/>
  <c r="F17" i="9"/>
  <c r="F18" i="9"/>
  <c r="F19" i="9"/>
  <c r="F20" i="9"/>
  <c r="F21" i="9"/>
  <c r="F22" i="9"/>
  <c r="F23" i="9"/>
  <c r="F24" i="9"/>
  <c r="F25" i="9"/>
  <c r="F26" i="9"/>
  <c r="E11" i="9"/>
  <c r="E12" i="9"/>
  <c r="E13" i="9"/>
  <c r="E17" i="9"/>
  <c r="E18" i="9"/>
  <c r="E19" i="9"/>
  <c r="E20" i="9"/>
  <c r="E21" i="9"/>
  <c r="E22" i="9"/>
  <c r="E23" i="9"/>
  <c r="E24" i="9"/>
  <c r="E25" i="9"/>
  <c r="E26" i="9"/>
  <c r="F10" i="9"/>
  <c r="E10" i="9"/>
  <c r="K31" i="3" l="1"/>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30" i="3"/>
  <c r="H144" i="3" l="1"/>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143" i="3"/>
  <c r="H50" i="3"/>
  <c r="H51" i="3"/>
  <c r="H52" i="3"/>
  <c r="H53" i="3"/>
  <c r="H54" i="3"/>
  <c r="H55" i="3"/>
  <c r="H56" i="3"/>
  <c r="H57" i="3"/>
  <c r="H58" i="3"/>
  <c r="H59" i="3"/>
  <c r="H60" i="3"/>
  <c r="H61" i="3"/>
  <c r="H62" i="3"/>
  <c r="H63" i="3"/>
  <c r="H64" i="3"/>
  <c r="H65" i="3"/>
  <c r="H66" i="3"/>
  <c r="H67" i="3"/>
  <c r="H68" i="3"/>
  <c r="H69" i="3"/>
  <c r="H70" i="3"/>
  <c r="H71" i="3"/>
  <c r="H72" i="3"/>
  <c r="H73" i="3"/>
  <c r="H74" i="3"/>
  <c r="H75" i="3"/>
  <c r="H30" i="3"/>
  <c r="H31" i="3"/>
  <c r="H32" i="3"/>
  <c r="H33" i="3"/>
  <c r="H34" i="3"/>
  <c r="H35" i="3"/>
  <c r="H36" i="3"/>
  <c r="H37" i="3"/>
  <c r="H38" i="3"/>
  <c r="H39" i="3"/>
  <c r="H40" i="3"/>
  <c r="H41" i="3"/>
  <c r="H42" i="3"/>
  <c r="H43" i="3"/>
  <c r="H44" i="3"/>
  <c r="H45" i="3"/>
  <c r="H46" i="3"/>
  <c r="H47" i="3"/>
  <c r="H48" i="3"/>
  <c r="H49" i="3"/>
  <c r="J236" i="3" l="1"/>
  <c r="F30" i="8" s="1"/>
  <c r="I236" i="3"/>
  <c r="E30" i="8" s="1"/>
  <c r="E16" i="8"/>
  <c r="E20" i="8"/>
  <c r="E15" i="8"/>
  <c r="F19" i="8"/>
  <c r="E17" i="8"/>
  <c r="E21" i="8"/>
  <c r="F16" i="8"/>
  <c r="F20" i="8"/>
  <c r="F15" i="8"/>
  <c r="F17" i="8"/>
  <c r="F21" i="8"/>
  <c r="E19" i="8"/>
  <c r="J240" i="3"/>
  <c r="F27" i="8" l="1"/>
  <c r="F14" i="9"/>
  <c r="C21" i="10"/>
  <c r="F21" i="10"/>
  <c r="F29" i="10"/>
  <c r="F22" i="10"/>
  <c r="G23" i="7"/>
  <c r="G20" i="7"/>
  <c r="C20" i="7"/>
  <c r="G10" i="7"/>
  <c r="F15" i="7"/>
  <c r="H15" i="7"/>
  <c r="G22" i="7"/>
  <c r="H14" i="7"/>
  <c r="F14" i="7"/>
  <c r="G14" i="7"/>
  <c r="G15" i="7"/>
  <c r="I23" i="7"/>
  <c r="I22" i="7"/>
  <c r="D22" i="7"/>
  <c r="D23" i="7" s="1"/>
  <c r="D26" i="7" l="1"/>
  <c r="J242" i="3"/>
  <c r="J241" i="3"/>
  <c r="F18" i="8" s="1"/>
  <c r="I241" i="3"/>
  <c r="E18" i="8" s="1"/>
  <c r="I242" i="3"/>
  <c r="I240" i="3"/>
  <c r="D15" i="7"/>
  <c r="H242" i="3"/>
  <c r="H241" i="3"/>
  <c r="H240" i="3"/>
  <c r="H239" i="3"/>
  <c r="H238" i="3"/>
  <c r="H237" i="3"/>
  <c r="H236" i="3"/>
  <c r="H235" i="3"/>
  <c r="E29" i="8" l="1"/>
  <c r="E16" i="9"/>
  <c r="E28" i="8"/>
  <c r="E15" i="9"/>
  <c r="F28" i="8"/>
  <c r="F15" i="9"/>
  <c r="E27" i="8"/>
  <c r="E14" i="9"/>
  <c r="F29" i="8"/>
  <c r="F16" i="9"/>
  <c r="D32" i="7"/>
  <c r="H23" i="7"/>
  <c r="E27" i="9" l="1"/>
  <c r="F27" i="9"/>
  <c r="F32" i="8"/>
  <c r="D27" i="7"/>
  <c r="D33" i="7"/>
  <c r="E32" i="8"/>
  <c r="G22" i="10" l="1"/>
  <c r="G28" i="10"/>
  <c r="D11" i="10"/>
  <c r="D17" i="10"/>
  <c r="D34" i="7"/>
  <c r="D35" i="7" s="1"/>
  <c r="D28" i="7"/>
  <c r="C16" i="13"/>
  <c r="C27" i="13"/>
  <c r="D16" i="10" l="1"/>
  <c r="D18" i="10" s="1"/>
  <c r="D19" i="10" s="1"/>
  <c r="D28" i="10" s="1"/>
  <c r="C15" i="13"/>
  <c r="C17" i="13" s="1"/>
  <c r="C18" i="13" s="1"/>
  <c r="F29" i="13" s="1"/>
  <c r="D27" i="9" l="1"/>
  <c r="D32" i="8"/>
  <c r="D29" i="7"/>
  <c r="D10" i="10" l="1"/>
  <c r="D12" i="10" s="1"/>
  <c r="D13" i="10" s="1"/>
  <c r="D22" i="10" s="1"/>
  <c r="C24" i="13"/>
  <c r="C30" i="13" s="1"/>
  <c r="C33" i="13" s="1"/>
  <c r="H11" i="13" l="1"/>
  <c r="F24" i="13"/>
</calcChain>
</file>

<file path=xl/sharedStrings.xml><?xml version="1.0" encoding="utf-8"?>
<sst xmlns="http://schemas.openxmlformats.org/spreadsheetml/2006/main" count="1182" uniqueCount="266">
  <si>
    <r>
      <rPr>
        <b/>
        <i/>
        <sz val="8"/>
        <color theme="2" tint="-0.249977111117893"/>
        <rFont val="Calibri"/>
        <family val="2"/>
        <scheme val="minor"/>
      </rPr>
      <t>Image Source:</t>
    </r>
    <r>
      <rPr>
        <i/>
        <sz val="8"/>
        <color theme="2" tint="-0.249977111117893"/>
        <rFont val="Calibri"/>
        <family val="2"/>
        <scheme val="minor"/>
      </rPr>
      <t xml:space="preserve">
Mark Kilner
A Stodmarsh Scene</t>
    </r>
    <r>
      <rPr>
        <sz val="8"/>
        <color theme="2" tint="-0.249977111117893"/>
        <rFont val="Calibri"/>
        <family val="2"/>
        <scheme val="minor"/>
      </rPr>
      <t xml:space="preserve">
Copyright: © Mark Kilner 2016</t>
    </r>
  </si>
  <si>
    <t>Background</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</si>
  <si>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</si>
  <si>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</si>
  <si>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</si>
  <si>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</si>
  <si>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</si>
  <si>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 xml:space="preserve">Stodmarsh Special Area of Conservation (SAC) and Ramsar </t>
  </si>
  <si>
    <t xml:space="preserve">The Stodmarsh SAC and Ramsar site is a Habitats site with water pollution and eutrophication considered a threat to its condition.  </t>
  </si>
  <si>
    <t>The site is Situated in North-east Kent roughly 250 m northeast of Stodmarsh Village, and 3.3 km east of Sturry Stodmarsh.</t>
  </si>
  <si>
    <t xml:space="preserve">The river’s vegetation is exceptionally species rich, with many of the typical chalk stream plants present in abundance, including species such as river water-crowfoot and stream water-crowfoot. </t>
  </si>
  <si>
    <t>The sites is comprised of Marshland habitat with open water (ditches), a rare plant assemblage, neutral grassland, and breeding and wintering birds. Stodmarsh SAC is also designated for its populations of invertebrate species, including a population of Desmoulin’s whorl snail, which is highly dependent on maintenance of existing hydrological conditions.</t>
  </si>
  <si>
    <t>The Ramsar site is designated for criteria including six important wetland invertebrate species, two nationally rare plants, and five further nationally scarce species. A diverse assemblage of rare wetland birds are also present within the site.</t>
  </si>
  <si>
    <t xml:space="preserve">Increased levels of nitrogen and phosphorous entering aquatic environments via surface water and groundwater can severely threaten these sensitive habitats and species within the SAC.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</si>
  <si>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The habitats and species within the site that result in designation as a SAC and Ramsar sites are referred to as ‘qualifying features.’ Not all of these qualifying features will be sensitive to changes in nutrients within site. When completing an HRA involving nutrient neutrality, the Competent Authority (normally Local Planning Authority for developments) must identify and screen out qualifying features that are not sensitive to nutrients via a Habitats Regulations Assessment.  Developers will be asked to submit information to support this process.</t>
  </si>
  <si>
    <t xml:space="preserve">More detailed information on the qualifying features of Stodmarsh SAC and Ramsar site, and details of water quality data highlighting the current nutrient problems in the sites are available in the Natural England Stodmarsh SAC and Ramsar site evidence summary.  </t>
  </si>
  <si>
    <t>Instructions</t>
  </si>
  <si>
    <t>The nutrient budget for a site is calculated in four stages, with each stage implemented in the following worksheets.</t>
  </si>
  <si>
    <t>1. General tips:</t>
  </si>
  <si>
    <t xml:space="preserve">Key: </t>
  </si>
  <si>
    <t>Values to be entered by the user</t>
  </si>
  <si>
    <t>Fixed or calculated values</t>
  </si>
  <si>
    <t>Lookup tables</t>
  </si>
  <si>
    <t>When a cell is selected, instructions are shown on how to fill out the cell:</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</si>
  <si>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</si>
  <si>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 xml:space="preserve">Note: </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</si>
  <si>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</si>
  <si>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2. Stage specific instructions:</t>
  </si>
  <si>
    <t>2.1 Stage 1: calculate the new nutrient load associated with the additional wastewater:</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</si>
  <si>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</si>
  <si>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</si>
  <si>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</si>
  <si>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</si>
  <si>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nitrogen (TN) or total phosphorus (TP) final effluent concentrations (in mg/l) are specified by the manufacturer, please select 'Septic Tank user defined' or 'Package Treatment Plant user defined' and enter the manufacturer specified value in the cell where prompted.</t>
  </si>
  <si>
    <t>2.2 Stage 2 - calculate the annual nutrient load from existing (pre development) land use on the development site: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</si>
  <si>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</si>
  <si>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</si>
  <si>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</si>
  <si>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2.3 Stage 3 - calculate the annual nutrient load from new (post-development) land use on the development site:</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</si>
  <si>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</si>
  <si>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</si>
  <si>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</si>
  <si>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2.4 Stage 4 - calculate the net change in nutrient loading for the site and the final annual nutrient budget for the development site: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</si>
  <si>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</si>
  <si>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</si>
  <si>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</si>
  <si>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2.5 The equation used to calculate the nutrient budget:</t>
  </si>
  <si>
    <t>3. Site specific data collection instructions:</t>
  </si>
  <si>
    <t>3.1 Instructions for finding the Operational Catchment that the development is situated within:</t>
  </si>
  <si>
    <t xml:space="preserve">a) Go to this link:  </t>
  </si>
  <si>
    <t xml:space="preserve">http://environment.data.gov.uk/catchment-planning/ </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</si>
  <si>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</si>
  <si>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</si>
  <si>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</si>
  <si>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3.2 Instructions for finding the drainage associated with the predominant soil type within development site:</t>
  </si>
  <si>
    <t xml:space="preserve">a) Go to this link:   </t>
  </si>
  <si>
    <t xml:space="preserve">http://www.landis.org.uk/soilscapes/#.  </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</si>
  <si>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</si>
  <si>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</si>
  <si>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</si>
  <si>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3.3 Instructions for finding the annual average rainfall that the development will receive using the National River Flow Archive:</t>
  </si>
  <si>
    <t>https://nrfa.ceh.ac.uk/data/station/spatial/40011</t>
  </si>
  <si>
    <t>b) This link will bring the user to the Great Stour at Horton flow gauge catchment information page.</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</si>
  <si>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</si>
  <si>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</si>
  <si>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</si>
  <si>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3.4 Instructions for finding out whether the development is in a Nitrate Vulnerable Zone (NVZ):</t>
  </si>
  <si>
    <t>a) Go to this link:</t>
  </si>
  <si>
    <t>http://mapapps2.bgs.ac.uk/ukso/home.html?layers=NVZEng</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</si>
  <si>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</si>
  <si>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</si>
  <si>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</si>
  <si>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Development site details</t>
  </si>
  <si>
    <r>
      <t xml:space="preserve">Date </t>
    </r>
    <r>
      <rPr>
        <sz val="11"/>
        <rFont val="Calibri"/>
        <family val="2"/>
        <scheme val="minor"/>
      </rPr>
      <t>(dd/mm/yyyy)</t>
    </r>
    <r>
      <rPr>
        <b/>
        <sz val="11"/>
        <rFont val="Calibri"/>
        <family val="2"/>
        <scheme val="minor"/>
      </rPr>
      <t>:</t>
    </r>
  </si>
  <si>
    <t>Site Name:</t>
  </si>
  <si>
    <t>Planning Application number:</t>
  </si>
  <si>
    <t>Site Address:</t>
  </si>
  <si>
    <t>Stage 1</t>
  </si>
  <si>
    <t>User Inputs</t>
  </si>
  <si>
    <t>Date of first occupancy:</t>
  </si>
  <si>
    <t>Average occupancy rate:</t>
  </si>
  <si>
    <r>
      <t xml:space="preserve">Water usage </t>
    </r>
    <r>
      <rPr>
        <sz val="11"/>
        <rFont val="Arial"/>
        <family val="2"/>
      </rPr>
      <t>(litres/person/day)</t>
    </r>
    <r>
      <rPr>
        <b/>
        <sz val="11"/>
        <rFont val="Arial"/>
        <family val="2"/>
      </rPr>
      <t>:</t>
    </r>
  </si>
  <si>
    <r>
      <t xml:space="preserve">Development Proposal </t>
    </r>
    <r>
      <rPr>
        <sz val="11"/>
        <rFont val="Arial"/>
        <family val="2"/>
      </rPr>
      <t>(dwellings/units)</t>
    </r>
    <r>
      <rPr>
        <b/>
        <sz val="11"/>
        <rFont val="Arial"/>
        <family val="2"/>
      </rPr>
      <t>:</t>
    </r>
  </si>
  <si>
    <t>Wastewater treatment works:</t>
  </si>
  <si>
    <r>
      <t xml:space="preserve">Wastewater treatment works P permit </t>
    </r>
    <r>
      <rPr>
        <sz val="11"/>
        <rFont val="Arial"/>
        <family val="2"/>
      </rPr>
      <t>(mg TP/litre)</t>
    </r>
    <r>
      <rPr>
        <b/>
        <sz val="11"/>
        <rFont val="Arial"/>
        <family val="2"/>
      </rPr>
      <t>:</t>
    </r>
  </si>
  <si>
    <r>
      <t xml:space="preserve">Wastewater treatment works N permit </t>
    </r>
    <r>
      <rPr>
        <sz val="11"/>
        <rFont val="Arial"/>
        <family val="2"/>
      </rPr>
      <t>(mg TN/litre)</t>
    </r>
    <r>
      <rPr>
        <b/>
        <sz val="11"/>
        <rFont val="Arial"/>
        <family val="2"/>
      </rPr>
      <t>:</t>
    </r>
  </si>
  <si>
    <t>Stage 1 Calculated Loading</t>
  </si>
  <si>
    <t>AND($C$9&lt;DATE(2025,1,1),OR((VLOOKUP($C$13,Lookups!$A$9:$E$14,2,FALSE))&gt;(VLOOKUP($C$13,Lookups!$A$9:$E$14,4,FALSE)),(VLOOKUP($C$13,Lookups!$A$9:$E$14,3,FALSE))&gt;(VLOOKUP($C$13,Lookups!$A$9:$E$14,5,FALSE))))</t>
  </si>
  <si>
    <t>Additional population</t>
  </si>
  <si>
    <t>people</t>
  </si>
  <si>
    <t>Wastewater by development</t>
  </si>
  <si>
    <t>litres/day</t>
  </si>
  <si>
    <t>TP discharge from WwTW</t>
  </si>
  <si>
    <t>mg TP/day</t>
  </si>
  <si>
    <t>Convert to kg/TP/d</t>
  </si>
  <si>
    <t>kg TP/day</t>
  </si>
  <si>
    <t>Convert to kg/TP/yr</t>
  </si>
  <si>
    <t>kg TP/yr</t>
  </si>
  <si>
    <t>Annual wastewater TP load</t>
  </si>
  <si>
    <t>TN discharge from WwTW</t>
  </si>
  <si>
    <t>mg TN/day</t>
  </si>
  <si>
    <t>Convert to kg/TN/d</t>
  </si>
  <si>
    <t>kg TN/day</t>
  </si>
  <si>
    <t>Convert to kg/TN/yr</t>
  </si>
  <si>
    <t>kg TN/yr</t>
  </si>
  <si>
    <t>Annual wastewater TN load</t>
  </si>
  <si>
    <t>Stage 2</t>
  </si>
  <si>
    <t>Catchment:</t>
  </si>
  <si>
    <t>Soil drainage type:</t>
  </si>
  <si>
    <r>
      <t xml:space="preserve">Annual average rainfall </t>
    </r>
    <r>
      <rPr>
        <sz val="11"/>
        <rFont val="Arial"/>
        <family val="2"/>
      </rPr>
      <t>(mm)</t>
    </r>
    <r>
      <rPr>
        <b/>
        <sz val="11"/>
        <rFont val="Arial"/>
        <family val="2"/>
      </rPr>
      <t>:</t>
    </r>
  </si>
  <si>
    <t>Within Nitrate Vulnerable Zone (NVZ):</t>
  </si>
  <si>
    <t>Existing land use type(s)</t>
  </si>
  <si>
    <r>
      <t xml:space="preserve">Area </t>
    </r>
    <r>
      <rPr>
        <sz val="11"/>
        <color theme="1"/>
        <rFont val="Arial"/>
        <family val="2"/>
      </rPr>
      <t>(ha)</t>
    </r>
  </si>
  <si>
    <r>
      <t xml:space="preserve">Annual phosphorus nutrient export 
</t>
    </r>
    <r>
      <rPr>
        <sz val="11"/>
        <color theme="1"/>
        <rFont val="Arial"/>
        <family val="2"/>
      </rPr>
      <t>(kg TP)</t>
    </r>
  </si>
  <si>
    <r>
      <t xml:space="preserve">Annual nitrogen nutrient export 
</t>
    </r>
    <r>
      <rPr>
        <sz val="11"/>
        <color theme="1"/>
        <rFont val="Arial"/>
        <family val="2"/>
      </rPr>
      <t>(kg TN)</t>
    </r>
  </si>
  <si>
    <t>Total:</t>
  </si>
  <si>
    <t>Stage 3</t>
  </si>
  <si>
    <t>New land use type(s)</t>
  </si>
  <si>
    <r>
      <t xml:space="preserve">Annual nitrogen nutrient export
</t>
    </r>
    <r>
      <rPr>
        <sz val="11"/>
        <color theme="1"/>
        <rFont val="Arial"/>
        <family val="2"/>
      </rPr>
      <t>(kg TN)</t>
    </r>
  </si>
  <si>
    <t>Stage 4</t>
  </si>
  <si>
    <t>Calculated Outputs</t>
  </si>
  <si>
    <t>P loading to WwTW:</t>
  </si>
  <si>
    <t>Net land use P change:</t>
  </si>
  <si>
    <t>P budget:</t>
  </si>
  <si>
    <t>P budget + 20% buffer:</t>
  </si>
  <si>
    <t>N loading to WwTW:</t>
  </si>
  <si>
    <t>Net land use N change:</t>
  </si>
  <si>
    <t>N budget:</t>
  </si>
  <si>
    <t>N budget + 20% buffer:</t>
  </si>
  <si>
    <t>The total annual phosphorus load to mitigate is:</t>
  </si>
  <si>
    <t>The total annual nitrogen load to mitigate is:</t>
  </si>
  <si>
    <t>Your final phosphorus budget is:</t>
  </si>
  <si>
    <t>have pop up message if negative that says soemthing like "No P to mitigate</t>
  </si>
  <si>
    <t xml:space="preserve">If positive have message similar to the right </t>
  </si>
  <si>
    <t>The total amount of nitrogen to mitigate is:</t>
  </si>
  <si>
    <t>Look Up Tables</t>
  </si>
  <si>
    <t>Table 1: Stage 1 WwTW lookup</t>
  </si>
  <si>
    <t>Discharge Site Name</t>
  </si>
  <si>
    <t>Phosphorus, Total as P (mg/l)</t>
  </si>
  <si>
    <t>Nitrogen, Total Inorganic (mg/l)</t>
  </si>
  <si>
    <t>Phosphorus, Total as P (mg/l), permit post 2025</t>
  </si>
  <si>
    <t>Nitrogen, Total as N (mg/l), permit post 2025</t>
  </si>
  <si>
    <t>Ashford WwTW</t>
  </si>
  <si>
    <t>Brook Sewage Disposal Works</t>
  </si>
  <si>
    <t>Canterbury WwTW</t>
  </si>
  <si>
    <t>Charing WwTW</t>
  </si>
  <si>
    <t>Chartham STW</t>
  </si>
  <si>
    <t>Chilham WwTW</t>
  </si>
  <si>
    <t>Dambridge Wingham WwTW</t>
  </si>
  <si>
    <t>Good Intent Cottages STW</t>
  </si>
  <si>
    <t>Herne Bay WwTW</t>
  </si>
  <si>
    <t>Lenham WwTW</t>
  </si>
  <si>
    <t>Newnham Valley WwTW</t>
  </si>
  <si>
    <t>Sellindge WwTW</t>
  </si>
  <si>
    <t>Westbere WwTW</t>
  </si>
  <si>
    <t>Westwell STW</t>
  </si>
  <si>
    <t>Wye WwTW</t>
  </si>
  <si>
    <t>Package Treatment Plant default</t>
  </si>
  <si>
    <t>Septic Tank default</t>
  </si>
  <si>
    <t>Package Treatment Plant user defined</t>
  </si>
  <si>
    <t>Septic Tank user defined</t>
  </si>
  <si>
    <t>Table 2: Stage 2 and 3 Landcover lookup</t>
  </si>
  <si>
    <t>Catchment</t>
  </si>
  <si>
    <t>Farmscoper Farm Term</t>
  </si>
  <si>
    <t>NVZ</t>
  </si>
  <si>
    <t>Climate</t>
  </si>
  <si>
    <t>Farmscoper Soil Drainage Term</t>
  </si>
  <si>
    <t>Lookup</t>
  </si>
  <si>
    <t>Phosphorus export coefficient</t>
  </si>
  <si>
    <t>Nitrogen export coefficient</t>
  </si>
  <si>
    <t>Farm Lookup</t>
  </si>
  <si>
    <t>Mean P export of farm type and climate combination</t>
  </si>
  <si>
    <t>Mean N export of farm type and climate combination</t>
  </si>
  <si>
    <t>Mean P export of farm type</t>
  </si>
  <si>
    <t>Mean N export of farm type</t>
  </si>
  <si>
    <t>Upper Stour</t>
  </si>
  <si>
    <t>Cereals</t>
  </si>
  <si>
    <t>700to900</t>
  </si>
  <si>
    <t>FreeDrain</t>
  </si>
  <si>
    <t>DrainedAr</t>
  </si>
  <si>
    <t>DrainedArGr</t>
  </si>
  <si>
    <t>General</t>
  </si>
  <si>
    <t>Horticulture</t>
  </si>
  <si>
    <t>Poultry</t>
  </si>
  <si>
    <t>Lowland</t>
  </si>
  <si>
    <t>Mixed</t>
  </si>
  <si>
    <t>Lower Stour</t>
  </si>
  <si>
    <t>600to700</t>
  </si>
  <si>
    <t>Little Stour and Wingham</t>
  </si>
  <si>
    <t>900to1200</t>
  </si>
  <si>
    <t>Stour Marshes</t>
  </si>
  <si>
    <t>Under600</t>
  </si>
  <si>
    <t>Over1500</t>
  </si>
  <si>
    <t>Stour</t>
  </si>
  <si>
    <t>Pig</t>
  </si>
  <si>
    <t>Dairy</t>
  </si>
  <si>
    <t>-</t>
  </si>
  <si>
    <t>Greenspace</t>
  </si>
  <si>
    <t>Community food growing</t>
  </si>
  <si>
    <t>Woodland</t>
  </si>
  <si>
    <t>Shrub</t>
  </si>
  <si>
    <t>Water</t>
  </si>
  <si>
    <t>Residential urban land</t>
  </si>
  <si>
    <r>
      <t>Commercial/</t>
    </r>
    <r>
      <rPr>
        <i/>
        <sz val="11"/>
        <color theme="1"/>
        <rFont val="Arial"/>
        <family val="2"/>
      </rPr>
      <t>i</t>
    </r>
    <r>
      <rPr>
        <sz val="11"/>
        <color theme="1"/>
        <rFont val="Arial"/>
        <family val="2"/>
      </rPr>
      <t>ndustrial urban land</t>
    </r>
  </si>
  <si>
    <t>Open urban land</t>
  </si>
  <si>
    <t>Table 3: Stage 2 and 3 Rainfall / Urban Lookup</t>
  </si>
  <si>
    <t>Rainfall band</t>
  </si>
  <si>
    <t>Mid</t>
  </si>
  <si>
    <t>Farmscoper Equivalent</t>
  </si>
  <si>
    <t xml:space="preserve">P Urban Runoff Coefficient </t>
  </si>
  <si>
    <t>N Urban Runoff Coefficient (kg/ha/yr)</t>
  </si>
  <si>
    <t>Residential P export coefficient (kg/ha/yr)</t>
  </si>
  <si>
    <t>Commercial / industrial P export coefficient (kg/ha/yr)</t>
  </si>
  <si>
    <t>Open urban P export coefficient (kg/ha/yr)</t>
  </si>
  <si>
    <t>Residential N export coefficient (kg/ha/yr)</t>
  </si>
  <si>
    <t>Commercial / industrial N export coefficient (kg/ha/yr)</t>
  </si>
  <si>
    <t>Open urban N export coefficient (kg/ha/yr)</t>
  </si>
  <si>
    <t>508 - 525</t>
  </si>
  <si>
    <t>525.1 - 550</t>
  </si>
  <si>
    <t>550.1 - 575</t>
  </si>
  <si>
    <t>575.1 - 600</t>
  </si>
  <si>
    <t>600.1 - 625</t>
  </si>
  <si>
    <t>625.1 - 650</t>
  </si>
  <si>
    <t>650.1 - 675</t>
  </si>
  <si>
    <t>675.1 - 700</t>
  </si>
  <si>
    <t>700.1 - 750</t>
  </si>
  <si>
    <t>750.1 - 800</t>
  </si>
  <si>
    <t>800.1 - 850</t>
  </si>
  <si>
    <t>850.1 - 900</t>
  </si>
  <si>
    <t>900.1 - 950</t>
  </si>
  <si>
    <t>950.1 - 1,000</t>
  </si>
  <si>
    <t>1,000.1 - 1,100</t>
  </si>
  <si>
    <t>1,100.1 - 1,200</t>
  </si>
  <si>
    <t>1,200.1 - 1,400</t>
  </si>
  <si>
    <t>1200to1500</t>
  </si>
  <si>
    <t>1,400.1 - 1,600</t>
  </si>
  <si>
    <t>1,600.1 - 2,000</t>
  </si>
  <si>
    <t>2,000.1 - 2,400</t>
  </si>
  <si>
    <t>2,400.1 - 3,000</t>
  </si>
  <si>
    <t>3,000.1 - 4,000</t>
  </si>
  <si>
    <t>4,000.1 - 5,500</t>
  </si>
  <si>
    <t>Table 4: Stage 2 and 3 Catchment Lookup</t>
  </si>
  <si>
    <t>Table 7: Stage 2 and 3 Landcovers</t>
  </si>
  <si>
    <t>Table 8: Stage 2 and 3 Landcover lookup</t>
  </si>
  <si>
    <t>Operational Catchment</t>
  </si>
  <si>
    <t>Farmscoper equivalent</t>
  </si>
  <si>
    <t>All Possible Landcover Types</t>
  </si>
  <si>
    <t>Stodmarsh SAC Specific Landcover Types</t>
  </si>
  <si>
    <t>Table 5: Stage 2 and 3 Soil Drainage Lookup</t>
  </si>
  <si>
    <t>LFA</t>
  </si>
  <si>
    <t>Soilscape drainage term</t>
  </si>
  <si>
    <t>Farmscoper term</t>
  </si>
  <si>
    <t>Definition</t>
  </si>
  <si>
    <t>Freely draining</t>
  </si>
  <si>
    <t>Free Draining</t>
  </si>
  <si>
    <t>Slightly impeded drainage</t>
  </si>
  <si>
    <t>Drained for arable</t>
  </si>
  <si>
    <t>Impeded drainage</t>
  </si>
  <si>
    <t>Drained for arable and grassland</t>
  </si>
  <si>
    <t>Variable</t>
  </si>
  <si>
    <t>Commercial/industrial urban land</t>
  </si>
  <si>
    <t>Surface Wetness</t>
  </si>
  <si>
    <t>Naturally wet</t>
  </si>
  <si>
    <t>Table 6: Stage 2 and 3 NVZ Lookup</t>
  </si>
  <si>
    <t>Yes</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</si>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</sst>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1"/>
      <color theme="1"/>
      <name val="Calibri"/>
      <family val="2"/>
      <scheme val="minor"/>
    </font>
    <font>
      <sz val="11"/>
      <name val="Calibri"/>
      <family val="2"/>
      <scheme val="minor"/>
    </font>
    <font>
      <u/>
      <sz val="11"/>
      <color theme="10"/>
      <name val="Calibri"/>
      <family val="2"/>
      <scheme val="minor"/>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0"/>
      <name val="Gill Sans MT"/>
      <family val="2"/>
    </font>
    <font>
      <sz val="11"/>
      <color theme="1"/>
      <name val="Arial"/>
      <family val="2"/>
    </font>
    <font>
      <sz val="11"/>
      <color rgb="FF000000"/>
      <name val="Arial"/>
      <family val="2"/>
    </font>
    <font>
      <i/>
      <sz val="11"/>
      <color theme="1"/>
      <name val="Arial"/>
      <family val="2"/>
    </font>
    <font>
      <sz val="11"/>
      <color theme="1" tint="4.9989318521683403E-2"/>
      <name val="Arial"/>
      <family val="2"/>
    </font>
    <font>
      <b/>
      <sz val="11"/>
      <name val="Calibri"/>
      <family val="2"/>
      <scheme val="minor"/>
    </font>
    <font>
      <b/>
      <sz val="12"/>
      <color theme="1"/>
      <name val="Arial"/>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sz val="8"/>
      <color theme="2" tint="-0.249977111117893"/>
      <name val="Calibri"/>
      <family val="2"/>
      <scheme val="minor"/>
    </font>
    <font>
      <b/>
      <i/>
      <sz val="8"/>
      <color theme="2" tint="-0.249977111117893"/>
      <name val="Calibri"/>
      <family val="2"/>
      <scheme val="minor"/>
    </font>
    <font>
      <i/>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
      <sz val="11"/>
      <color theme="0"/>
      <name val="Arial"/>
      <family val="2"/>
    </font>
    <font>
      <u/>
      <sz val="11"/>
      <color theme="10"/>
      <name val="Segoe UI"/>
      <family val="2"/>
    </font>
  </fonts>
  <fills count="7">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s>
  <borders count="23">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top/>
      <bottom/>
      <diagonal/>
    </border>
    <border>
      <left style="medium">
        <color rgb="FF449669"/>
      </left>
      <right style="medium">
        <color rgb="FF449669"/>
      </right>
      <top style="medium">
        <color rgb="FF449669"/>
      </top>
      <bottom/>
      <diagonal/>
    </border>
    <border>
      <left style="thick">
        <color rgb="FF449669"/>
      </left>
      <right style="thick">
        <color rgb="FF449669"/>
      </right>
      <top style="thick">
        <color rgb="FF449669"/>
      </top>
      <bottom/>
      <diagonal/>
    </border>
  </borders>
  <cellStyleXfs count="2">
    <xf numFmtId="0" fontId="0" fillId="0" borderId="0"/>
    <xf numFmtId="0" fontId="2" fillId="0" borderId="0" applyNumberFormat="0" applyFill="0" applyBorder="0" applyAlignment="0" applyProtection="0"/>
  </cellStyleXfs>
  <cellXfs count="276">
    <xf numFmtId="0" fontId="0" fillId="0" borderId="0" xfId="0"/>
    <xf numFmtId="0" fontId="0" fillId="2" borderId="0" xfId="0" applyFill="1"/>
    <xf numFmtId="0" fontId="1" fillId="2" borderId="0" xfId="0" applyFont="1" applyFill="1"/>
    <xf numFmtId="0" fontId="3" fillId="2" borderId="0" xfId="0" applyFont="1" applyFill="1" applyAlignment="1">
      <alignment horizontal="left"/>
    </xf>
    <xf numFmtId="0" fontId="4" fillId="2" borderId="0" xfId="0" applyFont="1" applyFill="1" applyAlignment="1">
      <alignment horizontal="left"/>
    </xf>
    <xf numFmtId="0" fontId="5" fillId="2" borderId="0" xfId="0" applyFont="1" applyFill="1" applyAlignment="1">
      <alignment horizontal="left"/>
    </xf>
    <xf numFmtId="14" fontId="3" fillId="2" borderId="0" xfId="0" applyNumberFormat="1" applyFont="1" applyFill="1" applyAlignment="1">
      <alignment vertical="center" wrapText="1"/>
    </xf>
    <xf numFmtId="0" fontId="3" fillId="2" borderId="0" xfId="0" applyFont="1" applyFill="1" applyAlignment="1">
      <alignment vertical="center"/>
    </xf>
    <xf numFmtId="0" fontId="3" fillId="2" borderId="0" xfId="0" applyFont="1" applyFill="1" applyAlignment="1">
      <alignment vertical="center" wrapText="1"/>
    </xf>
    <xf numFmtId="0" fontId="3" fillId="2" borderId="0" xfId="0" applyFont="1" applyFill="1" applyAlignment="1">
      <alignment horizontal="left" vertical="center"/>
    </xf>
    <xf numFmtId="0" fontId="5" fillId="2" borderId="0" xfId="0" applyFont="1" applyFill="1" applyAlignment="1">
      <alignment horizontal="left" vertical="center"/>
    </xf>
    <xf numFmtId="0" fontId="3" fillId="2" borderId="0" xfId="0" applyFont="1" applyFill="1" applyAlignment="1">
      <alignment horizontal="center" vertical="center"/>
    </xf>
    <xf numFmtId="2" fontId="3" fillId="2" borderId="0" xfId="0" applyNumberFormat="1" applyFont="1" applyFill="1" applyAlignment="1">
      <alignment horizontal="center" vertical="center"/>
    </xf>
    <xf numFmtId="2" fontId="5" fillId="2" borderId="0" xfId="0" applyNumberFormat="1" applyFont="1" applyFill="1" applyAlignment="1">
      <alignment horizontal="center" vertical="center"/>
    </xf>
    <xf numFmtId="0" fontId="8" fillId="2" borderId="1" xfId="0" applyFont="1" applyFill="1" applyBorder="1"/>
    <xf numFmtId="0" fontId="9" fillId="2" borderId="0" xfId="0" applyFont="1" applyFill="1" applyAlignment="1">
      <alignment horizontal="left" vertical="center" wrapText="1"/>
    </xf>
    <xf numFmtId="0" fontId="9" fillId="2" borderId="4" xfId="0" applyFont="1" applyFill="1" applyBorder="1" applyAlignment="1">
      <alignment horizontal="left" vertical="center" wrapText="1"/>
    </xf>
    <xf numFmtId="0" fontId="9" fillId="2" borderId="7" xfId="0" applyFont="1" applyFill="1" applyBorder="1" applyAlignment="1">
      <alignment horizontal="left" vertical="center" wrapText="1"/>
    </xf>
    <xf numFmtId="2" fontId="12" fillId="2" borderId="0" xfId="0" applyNumberFormat="1" applyFont="1" applyFill="1" applyAlignment="1">
      <alignment horizontal="center" vertical="center"/>
    </xf>
    <xf numFmtId="0" fontId="8" fillId="2" borderId="0" xfId="0" applyFont="1" applyFill="1" applyAlignment="1">
      <alignment horizontal="left" vertical="center"/>
    </xf>
    <xf numFmtId="2" fontId="8" fillId="4" borderId="0" xfId="0" applyNumberFormat="1" applyFont="1" applyFill="1" applyAlignment="1">
      <alignment horizontal="center" vertical="center"/>
    </xf>
    <xf numFmtId="2" fontId="8" fillId="2" borderId="0" xfId="0" applyNumberFormat="1" applyFont="1" applyFill="1" applyAlignment="1">
      <alignment horizontal="center" vertical="center"/>
    </xf>
    <xf numFmtId="0" fontId="12" fillId="2" borderId="0" xfId="0" applyFont="1" applyFill="1"/>
    <xf numFmtId="2" fontId="12" fillId="4" borderId="1" xfId="0" applyNumberFormat="1" applyFont="1" applyFill="1" applyBorder="1" applyAlignment="1">
      <alignment horizontal="left" vertical="center" wrapText="1"/>
    </xf>
    <xf numFmtId="14" fontId="12" fillId="2" borderId="0" xfId="0" applyNumberFormat="1" applyFont="1" applyFill="1" applyAlignment="1">
      <alignment vertical="center" wrapText="1"/>
    </xf>
    <xf numFmtId="0" fontId="12" fillId="2" borderId="0" xfId="0" applyFont="1" applyFill="1" applyAlignment="1">
      <alignment vertical="center"/>
    </xf>
    <xf numFmtId="0" fontId="12" fillId="2" borderId="0" xfId="0" applyFont="1" applyFill="1" applyAlignment="1">
      <alignment vertical="center" wrapText="1"/>
    </xf>
    <xf numFmtId="0" fontId="12" fillId="2" borderId="0" xfId="0" applyFont="1" applyFill="1" applyAlignment="1">
      <alignment horizontal="left" vertical="center"/>
    </xf>
    <xf numFmtId="2" fontId="12" fillId="2" borderId="0" xfId="0" applyNumberFormat="1" applyFont="1" applyFill="1" applyAlignment="1">
      <alignment horizontal="left" vertical="center"/>
    </xf>
    <xf numFmtId="0" fontId="10" fillId="2" borderId="0" xfId="0" applyFont="1" applyFill="1" applyAlignment="1">
      <alignment horizontal="left" vertical="center"/>
    </xf>
    <xf numFmtId="0" fontId="12" fillId="5" borderId="0" xfId="0" applyFont="1" applyFill="1"/>
    <xf numFmtId="0" fontId="9" fillId="5" borderId="6" xfId="0" applyFont="1" applyFill="1" applyBorder="1" applyAlignment="1">
      <alignment horizontal="left" vertical="center"/>
    </xf>
    <xf numFmtId="0" fontId="9" fillId="5" borderId="3" xfId="0" applyFont="1" applyFill="1" applyBorder="1" applyAlignment="1">
      <alignment horizontal="left" vertical="center"/>
    </xf>
    <xf numFmtId="0" fontId="9" fillId="5" borderId="3" xfId="0" applyFont="1" applyFill="1" applyBorder="1" applyAlignment="1">
      <alignment horizontal="left" vertical="center" wrapText="1"/>
    </xf>
    <xf numFmtId="0" fontId="12" fillId="5" borderId="2" xfId="0" applyFont="1" applyFill="1" applyBorder="1" applyAlignment="1">
      <alignment horizontal="left" vertical="center"/>
    </xf>
    <xf numFmtId="2" fontId="12" fillId="5" borderId="0" xfId="0" applyNumberFormat="1" applyFont="1" applyFill="1" applyAlignment="1">
      <alignment horizontal="left" vertical="center"/>
    </xf>
    <xf numFmtId="0" fontId="8" fillId="5" borderId="1" xfId="0" applyFont="1" applyFill="1" applyBorder="1" applyAlignment="1">
      <alignment horizontal="left" vertical="center"/>
    </xf>
    <xf numFmtId="0" fontId="12" fillId="5" borderId="0" xfId="0" applyFont="1" applyFill="1" applyAlignment="1">
      <alignment horizontal="left" vertical="center"/>
    </xf>
    <xf numFmtId="0" fontId="13" fillId="5" borderId="0" xfId="0" applyFont="1" applyFill="1" applyAlignment="1">
      <alignment horizontal="left" vertical="center"/>
    </xf>
    <xf numFmtId="0" fontId="9" fillId="5" borderId="11" xfId="0" applyFont="1" applyFill="1" applyBorder="1" applyAlignment="1">
      <alignment horizontal="left" vertical="center" wrapText="1"/>
    </xf>
    <xf numFmtId="0" fontId="12" fillId="5" borderId="10" xfId="0" applyFont="1" applyFill="1" applyBorder="1" applyAlignment="1">
      <alignment horizontal="left" vertical="center"/>
    </xf>
    <xf numFmtId="0" fontId="9" fillId="5" borderId="11" xfId="0" applyFont="1" applyFill="1" applyBorder="1" applyAlignment="1">
      <alignment horizontal="left" vertical="center"/>
    </xf>
    <xf numFmtId="49" fontId="12" fillId="5" borderId="2" xfId="0" applyNumberFormat="1" applyFont="1" applyFill="1" applyBorder="1" applyAlignment="1">
      <alignment horizontal="left" vertical="center"/>
    </xf>
    <xf numFmtId="0" fontId="12" fillId="5" borderId="5" xfId="0" applyFont="1" applyFill="1" applyBorder="1" applyAlignment="1">
      <alignment horizontal="left" vertical="center"/>
    </xf>
    <xf numFmtId="2" fontId="12" fillId="5" borderId="10" xfId="0" applyNumberFormat="1" applyFont="1" applyFill="1" applyBorder="1" applyAlignment="1">
      <alignment horizontal="left" vertical="center"/>
    </xf>
    <xf numFmtId="0" fontId="9" fillId="5" borderId="6" xfId="0" applyFont="1" applyFill="1" applyBorder="1" applyAlignment="1">
      <alignment horizontal="left" vertical="center" wrapText="1"/>
    </xf>
    <xf numFmtId="0" fontId="10" fillId="5" borderId="2" xfId="0" applyFont="1" applyFill="1" applyBorder="1" applyAlignment="1">
      <alignment horizontal="left" vertical="center"/>
    </xf>
    <xf numFmtId="2" fontId="12" fillId="5" borderId="2" xfId="0" applyNumberFormat="1" applyFont="1" applyFill="1" applyBorder="1" applyAlignment="1">
      <alignment horizontal="left" vertical="center"/>
    </xf>
    <xf numFmtId="0" fontId="10" fillId="5" borderId="5" xfId="0" applyFont="1" applyFill="1" applyBorder="1" applyAlignment="1">
      <alignment horizontal="left" vertical="center"/>
    </xf>
    <xf numFmtId="2" fontId="10" fillId="4" borderId="1" xfId="0" applyNumberFormat="1" applyFont="1" applyFill="1" applyBorder="1" applyAlignment="1">
      <alignment horizontal="left" vertical="center"/>
    </xf>
    <xf numFmtId="2" fontId="12" fillId="4" borderId="4" xfId="0" applyNumberFormat="1" applyFont="1" applyFill="1" applyBorder="1" applyAlignment="1">
      <alignment horizontal="left" vertical="center"/>
    </xf>
    <xf numFmtId="2" fontId="12" fillId="4" borderId="7" xfId="0" applyNumberFormat="1" applyFont="1" applyFill="1" applyBorder="1" applyAlignment="1">
      <alignment horizontal="left" vertical="center" wrapText="1"/>
    </xf>
    <xf numFmtId="2" fontId="8" fillId="2" borderId="0" xfId="0" applyNumberFormat="1" applyFont="1" applyFill="1" applyAlignment="1">
      <alignment vertical="center"/>
    </xf>
    <xf numFmtId="0" fontId="16" fillId="2" borderId="0" xfId="0" applyFont="1" applyFill="1" applyAlignment="1">
      <alignment horizontal="left" vertical="center" wrapText="1"/>
    </xf>
    <xf numFmtId="0" fontId="12" fillId="4" borderId="0" xfId="0" applyFont="1" applyFill="1" applyAlignment="1">
      <alignment horizontal="center" vertical="center"/>
    </xf>
    <xf numFmtId="0" fontId="12" fillId="2" borderId="12" xfId="0" applyFont="1" applyFill="1" applyBorder="1" applyAlignment="1">
      <alignment horizontal="left" vertical="center"/>
    </xf>
    <xf numFmtId="0" fontId="12" fillId="4" borderId="12" xfId="0" applyFont="1" applyFill="1" applyBorder="1" applyAlignment="1">
      <alignment horizontal="center" vertical="center"/>
    </xf>
    <xf numFmtId="0" fontId="12" fillId="2" borderId="13" xfId="0" applyFont="1" applyFill="1" applyBorder="1" applyAlignment="1">
      <alignment horizontal="left" vertical="center"/>
    </xf>
    <xf numFmtId="0" fontId="8" fillId="2" borderId="13" xfId="0" applyFont="1" applyFill="1" applyBorder="1" applyAlignment="1">
      <alignment horizontal="left" vertical="center"/>
    </xf>
    <xf numFmtId="2" fontId="12" fillId="4" borderId="13" xfId="0" applyNumberFormat="1" applyFont="1" applyFill="1" applyBorder="1" applyAlignment="1">
      <alignment horizontal="center" vertical="center"/>
    </xf>
    <xf numFmtId="2" fontId="8" fillId="4" borderId="13" xfId="0" applyNumberFormat="1" applyFont="1" applyFill="1" applyBorder="1" applyAlignment="1">
      <alignment horizontal="center" vertical="center"/>
    </xf>
    <xf numFmtId="0" fontId="12" fillId="2" borderId="14" xfId="0" applyFont="1" applyFill="1" applyBorder="1" applyAlignment="1">
      <alignment horizontal="left" vertical="center"/>
    </xf>
    <xf numFmtId="0" fontId="12" fillId="4" borderId="14" xfId="0" applyFont="1" applyFill="1" applyBorder="1" applyAlignment="1">
      <alignment horizontal="center" vertical="center"/>
    </xf>
    <xf numFmtId="2" fontId="12" fillId="4" borderId="14" xfId="0" applyNumberFormat="1" applyFont="1" applyFill="1" applyBorder="1" applyAlignment="1">
      <alignment horizontal="center" vertical="center"/>
    </xf>
    <xf numFmtId="0" fontId="9" fillId="2" borderId="13"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8" fillId="2" borderId="12" xfId="0" applyFont="1" applyFill="1" applyBorder="1"/>
    <xf numFmtId="0" fontId="9" fillId="2" borderId="14" xfId="0" applyFont="1" applyFill="1" applyBorder="1" applyAlignment="1">
      <alignment horizontal="left" vertical="center" wrapText="1"/>
    </xf>
    <xf numFmtId="0" fontId="16" fillId="2" borderId="12" xfId="0" applyFont="1" applyFill="1" applyBorder="1" applyAlignment="1">
      <alignment horizontal="left" vertical="center" wrapText="1"/>
    </xf>
    <xf numFmtId="0" fontId="8" fillId="2" borderId="15" xfId="0" applyFont="1" applyFill="1" applyBorder="1" applyAlignment="1">
      <alignment horizontal="right"/>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2" borderId="19" xfId="0" applyFont="1" applyFill="1" applyBorder="1" applyAlignment="1">
      <alignment horizontal="right"/>
    </xf>
    <xf numFmtId="0" fontId="8" fillId="2" borderId="17" xfId="0" applyFont="1" applyFill="1" applyBorder="1" applyAlignment="1">
      <alignment horizontal="left" vertical="center"/>
    </xf>
    <xf numFmtId="0" fontId="12" fillId="4" borderId="12" xfId="0" applyFont="1" applyFill="1" applyBorder="1" applyAlignment="1">
      <alignment horizontal="center" vertical="center" wrapText="1"/>
    </xf>
    <xf numFmtId="0" fontId="12" fillId="4" borderId="0" xfId="0" applyFont="1" applyFill="1" applyAlignment="1">
      <alignment horizontal="center" vertical="center" wrapText="1"/>
    </xf>
    <xf numFmtId="0" fontId="21" fillId="2" borderId="0" xfId="0" applyFont="1" applyFill="1" applyAlignment="1">
      <alignment vertical="center" wrapText="1"/>
    </xf>
    <xf numFmtId="14" fontId="8" fillId="2" borderId="0" xfId="0" applyNumberFormat="1" applyFont="1" applyFill="1" applyAlignment="1">
      <alignment vertical="center" wrapText="1"/>
    </xf>
    <xf numFmtId="0" fontId="8" fillId="2" borderId="0" xfId="0" applyFont="1" applyFill="1" applyAlignment="1">
      <alignment vertical="center" wrapText="1"/>
    </xf>
    <xf numFmtId="0" fontId="7" fillId="2" borderId="0" xfId="0" applyFont="1" applyFill="1" applyAlignment="1">
      <alignment horizontal="center" vertical="center" wrapText="1"/>
    </xf>
    <xf numFmtId="0" fontId="0" fillId="2" borderId="0" xfId="0" applyFill="1" applyAlignment="1">
      <alignment horizontal="left"/>
    </xf>
    <xf numFmtId="2" fontId="8" fillId="2" borderId="0" xfId="0" applyNumberFormat="1" applyFont="1" applyFill="1" applyAlignment="1">
      <alignment horizontal="left" vertical="center"/>
    </xf>
    <xf numFmtId="2" fontId="12" fillId="4" borderId="12" xfId="0" applyNumberFormat="1" applyFont="1" applyFill="1" applyBorder="1" applyAlignment="1">
      <alignment horizontal="center" vertical="center"/>
    </xf>
    <xf numFmtId="0" fontId="19" fillId="2" borderId="0" xfId="0" applyFont="1" applyFill="1"/>
    <xf numFmtId="0" fontId="19" fillId="2" borderId="0" xfId="0" applyFont="1" applyFill="1" applyAlignment="1">
      <alignment horizontal="left"/>
    </xf>
    <xf numFmtId="0" fontId="23" fillId="2" borderId="0" xfId="0" applyFont="1" applyFill="1" applyAlignment="1">
      <alignment horizontal="left" vertical="center"/>
    </xf>
    <xf numFmtId="2" fontId="23" fillId="2" borderId="0" xfId="0" applyNumberFormat="1" applyFont="1" applyFill="1" applyAlignment="1">
      <alignment horizontal="left" vertical="center"/>
    </xf>
    <xf numFmtId="0" fontId="24" fillId="2" borderId="0" xfId="0" applyFont="1" applyFill="1" applyAlignment="1">
      <alignment horizontal="left" vertical="center"/>
    </xf>
    <xf numFmtId="2" fontId="24" fillId="2" borderId="0" xfId="0" applyNumberFormat="1" applyFont="1" applyFill="1" applyAlignment="1">
      <alignment horizontal="left" vertical="center"/>
    </xf>
    <xf numFmtId="0" fontId="23" fillId="2" borderId="0" xfId="0" applyFont="1" applyFill="1" applyAlignment="1">
      <alignment horizontal="center" vertical="center"/>
    </xf>
    <xf numFmtId="2" fontId="23" fillId="2" borderId="0" xfId="0" applyNumberFormat="1" applyFont="1" applyFill="1" applyAlignment="1">
      <alignment horizontal="center" vertical="center"/>
    </xf>
    <xf numFmtId="2" fontId="24" fillId="2" borderId="0" xfId="0" applyNumberFormat="1" applyFont="1" applyFill="1" applyAlignment="1">
      <alignment horizontal="center" vertical="center"/>
    </xf>
    <xf numFmtId="2" fontId="10" fillId="4" borderId="12" xfId="0" applyNumberFormat="1" applyFont="1" applyFill="1" applyBorder="1" applyAlignment="1">
      <alignment horizontal="center" vertical="center"/>
    </xf>
    <xf numFmtId="2" fontId="12" fillId="4" borderId="14" xfId="0" quotePrefix="1" applyNumberFormat="1" applyFont="1" applyFill="1" applyBorder="1" applyAlignment="1">
      <alignment horizontal="center" vertical="center" wrapText="1"/>
    </xf>
    <xf numFmtId="2" fontId="12" fillId="4" borderId="0" xfId="0" applyNumberFormat="1" applyFont="1" applyFill="1" applyAlignment="1">
      <alignment horizontal="center" vertical="center" wrapText="1"/>
    </xf>
    <xf numFmtId="2" fontId="12" fillId="4" borderId="14" xfId="0" applyNumberFormat="1" applyFont="1" applyFill="1" applyBorder="1" applyAlignment="1">
      <alignment horizontal="center" vertical="center" wrapText="1"/>
    </xf>
    <xf numFmtId="0" fontId="8" fillId="4" borderId="16" xfId="0" applyFont="1" applyFill="1" applyBorder="1" applyAlignment="1">
      <alignment horizontal="right"/>
    </xf>
    <xf numFmtId="2" fontId="8" fillId="4" borderId="16" xfId="0" applyNumberFormat="1" applyFont="1" applyFill="1" applyBorder="1" applyAlignment="1">
      <alignment horizontal="right"/>
    </xf>
    <xf numFmtId="2" fontId="8" fillId="4" borderId="0" xfId="0" applyNumberFormat="1" applyFont="1" applyFill="1" applyAlignment="1">
      <alignment horizontal="right"/>
    </xf>
    <xf numFmtId="0" fontId="26" fillId="2" borderId="0" xfId="0" applyFont="1" applyFill="1" applyAlignment="1">
      <alignment wrapText="1"/>
    </xf>
    <xf numFmtId="2" fontId="15" fillId="3" borderId="14" xfId="0" applyNumberFormat="1" applyFont="1" applyFill="1" applyBorder="1" applyAlignment="1" applyProtection="1">
      <alignment horizontal="left" vertical="center" wrapText="1"/>
      <protection locked="0"/>
    </xf>
    <xf numFmtId="0" fontId="15" fillId="3" borderId="14" xfId="0" applyFont="1" applyFill="1" applyBorder="1" applyAlignment="1" applyProtection="1">
      <alignment horizontal="left" vertical="center"/>
      <protection locked="0"/>
    </xf>
    <xf numFmtId="0" fontId="15" fillId="3" borderId="0" xfId="0" applyFont="1" applyFill="1" applyAlignment="1" applyProtection="1">
      <alignment horizontal="left" vertical="center"/>
      <protection locked="0"/>
    </xf>
    <xf numFmtId="0" fontId="12" fillId="3" borderId="15" xfId="0" applyFont="1" applyFill="1" applyBorder="1" applyAlignment="1" applyProtection="1">
      <alignment horizontal="left"/>
      <protection locked="0"/>
    </xf>
    <xf numFmtId="2" fontId="12" fillId="3" borderId="16" xfId="0" applyNumberFormat="1" applyFont="1" applyFill="1" applyBorder="1" applyAlignment="1" applyProtection="1">
      <alignment horizontal="left"/>
      <protection locked="0"/>
    </xf>
    <xf numFmtId="2" fontId="12" fillId="3" borderId="18" xfId="0" applyNumberFormat="1" applyFont="1" applyFill="1" applyBorder="1" applyAlignment="1" applyProtection="1">
      <alignment horizontal="left"/>
      <protection locked="0"/>
    </xf>
    <xf numFmtId="14" fontId="10" fillId="3" borderId="12" xfId="0" applyNumberFormat="1" applyFont="1" applyFill="1" applyBorder="1" applyAlignment="1" applyProtection="1">
      <alignment horizontal="center" vertical="center"/>
      <protection locked="0"/>
    </xf>
    <xf numFmtId="2" fontId="12" fillId="3" borderId="12" xfId="0" applyNumberFormat="1" applyFont="1" applyFill="1" applyBorder="1" applyAlignment="1" applyProtection="1">
      <alignment horizontal="center" vertical="center" wrapText="1"/>
      <protection locked="0"/>
    </xf>
    <xf numFmtId="0" fontId="12" fillId="3" borderId="12" xfId="0" applyFont="1" applyFill="1" applyBorder="1" applyAlignment="1" applyProtection="1">
      <alignment horizontal="center" vertical="center"/>
      <protection locked="0"/>
    </xf>
    <xf numFmtId="0" fontId="12" fillId="3" borderId="12" xfId="0" applyFont="1" applyFill="1" applyBorder="1" applyAlignment="1" applyProtection="1">
      <alignment horizontal="center" vertical="center" wrapText="1"/>
      <protection locked="0"/>
    </xf>
    <xf numFmtId="0" fontId="12" fillId="3" borderId="14" xfId="0" applyFont="1" applyFill="1" applyBorder="1" applyAlignment="1" applyProtection="1">
      <alignment horizontal="center" vertical="center" wrapText="1"/>
      <protection locked="0"/>
    </xf>
    <xf numFmtId="0" fontId="7" fillId="2" borderId="0" xfId="0" applyFont="1" applyFill="1" applyAlignment="1" applyProtection="1">
      <alignment vertical="center" wrapText="1"/>
      <protection locked="0"/>
    </xf>
    <xf numFmtId="2" fontId="10" fillId="3" borderId="15" xfId="0" applyNumberFormat="1" applyFont="1" applyFill="1" applyBorder="1" applyAlignment="1" applyProtection="1">
      <alignment horizontal="left"/>
      <protection locked="0"/>
    </xf>
    <xf numFmtId="2" fontId="10" fillId="3" borderId="15" xfId="0" applyNumberFormat="1" applyFont="1" applyFill="1" applyBorder="1" applyAlignment="1" applyProtection="1">
      <alignment horizontal="left" vertical="center"/>
      <protection locked="0"/>
    </xf>
    <xf numFmtId="2" fontId="9" fillId="3" borderId="15" xfId="0" applyNumberFormat="1" applyFont="1" applyFill="1" applyBorder="1" applyAlignment="1" applyProtection="1">
      <alignment horizontal="left" vertical="center"/>
      <protection locked="0"/>
    </xf>
    <xf numFmtId="0" fontId="12" fillId="3" borderId="17" xfId="0" applyFont="1" applyFill="1" applyBorder="1" applyAlignment="1" applyProtection="1">
      <alignment horizontal="left"/>
      <protection locked="0"/>
    </xf>
    <xf numFmtId="2" fontId="12" fillId="4" borderId="12" xfId="0" applyNumberFormat="1" applyFont="1" applyFill="1" applyBorder="1" applyAlignment="1">
      <alignment horizontal="left"/>
    </xf>
    <xf numFmtId="0" fontId="0" fillId="2" borderId="2" xfId="0" applyFill="1" applyBorder="1"/>
    <xf numFmtId="0" fontId="30" fillId="0" borderId="0" xfId="0" applyFont="1" applyAlignment="1">
      <alignment horizontal="left" vertical="top" indent="2"/>
    </xf>
    <xf numFmtId="0" fontId="12" fillId="2" borderId="11" xfId="0" applyFont="1" applyFill="1" applyBorder="1" applyAlignment="1">
      <alignment horizontal="left" vertical="top" indent="2"/>
    </xf>
    <xf numFmtId="0" fontId="12" fillId="2" borderId="1" xfId="0" applyFont="1" applyFill="1" applyBorder="1" applyAlignment="1">
      <alignment horizontal="left" vertical="top" indent="2"/>
    </xf>
    <xf numFmtId="0" fontId="8" fillId="2" borderId="10" xfId="0" applyFont="1" applyFill="1" applyBorder="1" applyAlignment="1">
      <alignment horizontal="left" vertical="top" indent="2"/>
    </xf>
    <xf numFmtId="0" fontId="30" fillId="0" borderId="0" xfId="0" applyFont="1" applyAlignment="1">
      <alignment horizontal="left" vertical="center" indent="2"/>
    </xf>
    <xf numFmtId="0" fontId="31" fillId="0" borderId="0" xfId="0" applyFont="1" applyAlignment="1">
      <alignment horizontal="left" vertical="top"/>
    </xf>
    <xf numFmtId="2" fontId="12" fillId="5" borderId="5" xfId="0" applyNumberFormat="1" applyFont="1" applyFill="1" applyBorder="1" applyAlignment="1">
      <alignment horizontal="left" vertical="center"/>
    </xf>
    <xf numFmtId="0" fontId="8" fillId="4" borderId="15" xfId="0" applyFont="1" applyFill="1" applyBorder="1" applyAlignment="1">
      <alignment horizontal="right"/>
    </xf>
    <xf numFmtId="0" fontId="9" fillId="5" borderId="1" xfId="0" applyFont="1" applyFill="1" applyBorder="1" applyAlignment="1">
      <alignment horizontal="left" vertical="center" wrapText="1"/>
    </xf>
    <xf numFmtId="0" fontId="0" fillId="2" borderId="10" xfId="0" applyFill="1" applyBorder="1"/>
    <xf numFmtId="0" fontId="12" fillId="2" borderId="10" xfId="0" applyFont="1" applyFill="1" applyBorder="1"/>
    <xf numFmtId="0" fontId="12" fillId="2" borderId="2" xfId="0" applyFont="1" applyFill="1" applyBorder="1"/>
    <xf numFmtId="0" fontId="0" fillId="2" borderId="1" xfId="0" applyFill="1" applyBorder="1"/>
    <xf numFmtId="0" fontId="0" fillId="2" borderId="3" xfId="0" applyFill="1" applyBorder="1"/>
    <xf numFmtId="0" fontId="0" fillId="5" borderId="0" xfId="0" applyFill="1"/>
    <xf numFmtId="0" fontId="0" fillId="5" borderId="2" xfId="0" applyFill="1" applyBorder="1"/>
    <xf numFmtId="0" fontId="12" fillId="5" borderId="7" xfId="0" applyFont="1" applyFill="1" applyBorder="1" applyAlignment="1">
      <alignment horizontal="left" vertical="top" indent="2"/>
    </xf>
    <xf numFmtId="14" fontId="3" fillId="5" borderId="0" xfId="0" applyNumberFormat="1" applyFont="1" applyFill="1" applyAlignment="1">
      <alignment vertical="center" wrapText="1"/>
    </xf>
    <xf numFmtId="0" fontId="1" fillId="5" borderId="0" xfId="0" applyFont="1" applyFill="1"/>
    <xf numFmtId="0" fontId="3" fillId="5" borderId="0" xfId="0" applyFont="1" applyFill="1" applyAlignment="1">
      <alignment vertical="center"/>
    </xf>
    <xf numFmtId="0" fontId="3" fillId="5" borderId="0" xfId="0" applyFont="1" applyFill="1" applyAlignment="1">
      <alignment vertical="center" wrapText="1"/>
    </xf>
    <xf numFmtId="0" fontId="37" fillId="2" borderId="0" xfId="0" applyFont="1" applyFill="1" applyAlignment="1">
      <alignment horizontal="center" vertical="center"/>
    </xf>
    <xf numFmtId="0" fontId="3" fillId="2" borderId="2" xfId="0" applyFont="1" applyFill="1" applyBorder="1" applyAlignment="1">
      <alignment vertical="center"/>
    </xf>
    <xf numFmtId="14" fontId="3" fillId="2" borderId="2" xfId="0" applyNumberFormat="1" applyFont="1" applyFill="1" applyBorder="1" applyAlignment="1">
      <alignment vertical="center" wrapText="1"/>
    </xf>
    <xf numFmtId="0" fontId="3" fillId="2" borderId="2" xfId="0" applyFont="1" applyFill="1" applyBorder="1" applyAlignment="1">
      <alignment vertical="center" wrapText="1"/>
    </xf>
    <xf numFmtId="0" fontId="0" fillId="2" borderId="11" xfId="0" applyFill="1" applyBorder="1"/>
    <xf numFmtId="0" fontId="16" fillId="2" borderId="14" xfId="0" applyFont="1" applyFill="1" applyBorder="1" applyAlignment="1">
      <alignment vertical="center" wrapText="1"/>
    </xf>
    <xf numFmtId="0" fontId="16" fillId="2" borderId="0" xfId="0" applyFont="1" applyFill="1" applyAlignment="1">
      <alignment vertical="center" wrapText="1"/>
    </xf>
    <xf numFmtId="0" fontId="4" fillId="2" borderId="2" xfId="0" applyFont="1" applyFill="1" applyBorder="1" applyAlignment="1">
      <alignment horizontal="left"/>
    </xf>
    <xf numFmtId="0" fontId="3" fillId="2" borderId="2" xfId="0" applyFont="1" applyFill="1" applyBorder="1" applyAlignment="1">
      <alignment horizontal="left" vertical="center"/>
    </xf>
    <xf numFmtId="0" fontId="6" fillId="2" borderId="2" xfId="0" applyFont="1" applyFill="1" applyBorder="1"/>
    <xf numFmtId="0" fontId="18" fillId="0" borderId="2" xfId="0" applyFont="1" applyBorder="1"/>
    <xf numFmtId="0" fontId="19" fillId="2" borderId="2" xfId="0" applyFont="1" applyFill="1" applyBorder="1"/>
    <xf numFmtId="0" fontId="38" fillId="5" borderId="0" xfId="0" applyFont="1" applyFill="1"/>
    <xf numFmtId="14" fontId="39" fillId="5" borderId="0" xfId="0" applyNumberFormat="1" applyFont="1" applyFill="1" applyAlignment="1">
      <alignment vertical="center" wrapText="1"/>
    </xf>
    <xf numFmtId="0" fontId="39" fillId="5" borderId="0" xfId="0" applyFont="1" applyFill="1" applyAlignment="1">
      <alignment vertical="center"/>
    </xf>
    <xf numFmtId="0" fontId="39" fillId="5" borderId="0" xfId="0" applyFont="1" applyFill="1" applyAlignment="1">
      <alignment vertical="center" wrapText="1"/>
    </xf>
    <xf numFmtId="0" fontId="38" fillId="5" borderId="2" xfId="0" applyFont="1" applyFill="1" applyBorder="1"/>
    <xf numFmtId="0" fontId="20" fillId="2" borderId="2" xfId="0" applyFont="1" applyFill="1" applyBorder="1"/>
    <xf numFmtId="0" fontId="20" fillId="5" borderId="0" xfId="0" applyFont="1" applyFill="1"/>
    <xf numFmtId="0" fontId="6" fillId="5" borderId="0" xfId="0" applyFont="1" applyFill="1"/>
    <xf numFmtId="0" fontId="5" fillId="2" borderId="2" xfId="0" applyFont="1" applyFill="1" applyBorder="1" applyAlignment="1">
      <alignment horizontal="left"/>
    </xf>
    <xf numFmtId="0" fontId="3" fillId="2" borderId="2" xfId="0" applyFont="1" applyFill="1" applyBorder="1" applyAlignment="1">
      <alignment horizontal="left"/>
    </xf>
    <xf numFmtId="0" fontId="12" fillId="2" borderId="0" xfId="0" applyFont="1" applyFill="1" applyAlignment="1">
      <alignment horizontal="center"/>
    </xf>
    <xf numFmtId="0" fontId="5" fillId="5" borderId="0" xfId="0" applyFont="1" applyFill="1" applyAlignment="1">
      <alignment horizontal="left"/>
    </xf>
    <xf numFmtId="0" fontId="4" fillId="5" borderId="0" xfId="0" applyFont="1" applyFill="1" applyAlignment="1">
      <alignment horizontal="left"/>
    </xf>
    <xf numFmtId="0" fontId="3" fillId="5" borderId="0" xfId="0" applyFont="1" applyFill="1" applyAlignment="1">
      <alignment horizontal="left"/>
    </xf>
    <xf numFmtId="0" fontId="3" fillId="5" borderId="0" xfId="0" applyFont="1" applyFill="1" applyAlignment="1">
      <alignment horizontal="left" vertical="center"/>
    </xf>
    <xf numFmtId="0" fontId="11" fillId="5" borderId="0" xfId="0" applyFont="1" applyFill="1" applyAlignment="1">
      <alignment horizontal="left"/>
    </xf>
    <xf numFmtId="0" fontId="11" fillId="5" borderId="0" xfId="0" applyFont="1" applyFill="1" applyAlignment="1">
      <alignment vertical="center"/>
    </xf>
    <xf numFmtId="0" fontId="11" fillId="5" borderId="0" xfId="0" applyFont="1" applyFill="1" applyAlignment="1">
      <alignment vertical="center" wrapText="1"/>
    </xf>
    <xf numFmtId="0" fontId="12" fillId="2" borderId="1" xfId="0" applyFont="1" applyFill="1" applyBorder="1" applyAlignment="1">
      <alignment horizontal="left" vertical="center"/>
    </xf>
    <xf numFmtId="2" fontId="12" fillId="2" borderId="1" xfId="0" applyNumberFormat="1" applyFont="1" applyFill="1" applyBorder="1" applyAlignment="1">
      <alignment horizontal="left" vertical="center"/>
    </xf>
    <xf numFmtId="0" fontId="12" fillId="2" borderId="1" xfId="0" applyFont="1" applyFill="1" applyBorder="1"/>
    <xf numFmtId="2" fontId="8" fillId="4" borderId="20" xfId="0" applyNumberFormat="1" applyFont="1" applyFill="1" applyBorder="1" applyAlignment="1">
      <alignment horizontal="right"/>
    </xf>
    <xf numFmtId="2" fontId="12" fillId="4" borderId="0" xfId="0" applyNumberFormat="1" applyFont="1" applyFill="1" applyAlignment="1">
      <alignment horizontal="left"/>
    </xf>
    <xf numFmtId="2" fontId="12" fillId="4" borderId="15" xfId="0" applyNumberFormat="1" applyFont="1" applyFill="1" applyBorder="1" applyAlignment="1">
      <alignment horizontal="left"/>
    </xf>
    <xf numFmtId="2" fontId="12" fillId="4" borderId="17" xfId="0" applyNumberFormat="1" applyFont="1" applyFill="1" applyBorder="1" applyAlignment="1">
      <alignment horizontal="left"/>
    </xf>
    <xf numFmtId="2" fontId="12" fillId="3" borderId="21" xfId="0" applyNumberFormat="1" applyFont="1" applyFill="1" applyBorder="1" applyAlignment="1" applyProtection="1">
      <alignment horizontal="left"/>
      <protection locked="0"/>
    </xf>
    <xf numFmtId="0" fontId="12" fillId="5" borderId="2" xfId="0" applyFont="1" applyFill="1" applyBorder="1" applyAlignment="1">
      <alignment horizontal="left" vertical="center" wrapText="1"/>
    </xf>
    <xf numFmtId="0" fontId="12" fillId="5" borderId="2" xfId="0" applyFont="1" applyFill="1" applyBorder="1" applyAlignment="1" applyProtection="1">
      <alignment horizontal="left" vertical="center"/>
      <protection hidden="1"/>
    </xf>
    <xf numFmtId="2" fontId="10" fillId="5" borderId="5" xfId="0" applyNumberFormat="1" applyFont="1" applyFill="1" applyBorder="1" applyAlignment="1">
      <alignment horizontal="left" vertical="center"/>
    </xf>
    <xf numFmtId="2" fontId="10" fillId="5" borderId="0" xfId="0" applyNumberFormat="1" applyFont="1" applyFill="1" applyAlignment="1">
      <alignment horizontal="left" vertical="center"/>
    </xf>
    <xf numFmtId="2" fontId="10" fillId="5" borderId="2" xfId="0" applyNumberFormat="1" applyFont="1" applyFill="1" applyBorder="1" applyAlignment="1">
      <alignment horizontal="left" vertical="center"/>
    </xf>
    <xf numFmtId="2" fontId="10" fillId="2" borderId="0" xfId="0" applyNumberFormat="1" applyFont="1" applyFill="1" applyAlignment="1">
      <alignment horizontal="left" vertical="center"/>
    </xf>
    <xf numFmtId="0" fontId="8" fillId="5" borderId="3" xfId="0" applyFont="1" applyFill="1" applyBorder="1" applyAlignment="1">
      <alignment horizontal="left" vertical="center"/>
    </xf>
    <xf numFmtId="0" fontId="10" fillId="5" borderId="2" xfId="0" applyFont="1" applyFill="1" applyBorder="1" applyAlignment="1">
      <alignment horizontal="left" vertical="center" wrapText="1"/>
    </xf>
    <xf numFmtId="0" fontId="12" fillId="5" borderId="7" xfId="0" applyFont="1" applyFill="1" applyBorder="1" applyAlignment="1">
      <alignment horizontal="left" vertical="center"/>
    </xf>
    <xf numFmtId="2" fontId="12" fillId="5" borderId="8" xfId="0" applyNumberFormat="1" applyFont="1" applyFill="1" applyBorder="1" applyAlignment="1">
      <alignment horizontal="left" vertical="center"/>
    </xf>
    <xf numFmtId="2" fontId="10" fillId="3" borderId="18" xfId="0" applyNumberFormat="1" applyFont="1" applyFill="1" applyBorder="1" applyAlignment="1" applyProtection="1">
      <alignment horizontal="left"/>
      <protection locked="0"/>
    </xf>
    <xf numFmtId="0" fontId="12" fillId="5" borderId="2" xfId="0" applyFont="1" applyFill="1" applyBorder="1"/>
    <xf numFmtId="0" fontId="12" fillId="5" borderId="22" xfId="0" applyFont="1" applyFill="1" applyBorder="1" applyAlignment="1">
      <alignment horizontal="left"/>
    </xf>
    <xf numFmtId="0" fontId="12" fillId="5" borderId="5" xfId="0" applyFont="1" applyFill="1" applyBorder="1" applyAlignment="1">
      <alignment horizontal="left"/>
    </xf>
    <xf numFmtId="0" fontId="12" fillId="5" borderId="0" xfId="0" applyFont="1" applyFill="1" applyAlignment="1">
      <alignment horizontal="left"/>
    </xf>
    <xf numFmtId="0" fontId="13" fillId="5" borderId="5" xfId="0" applyFont="1" applyFill="1" applyBorder="1" applyAlignment="1">
      <alignment horizontal="left" vertical="center"/>
    </xf>
    <xf numFmtId="2" fontId="13" fillId="5" borderId="5" xfId="0" applyNumberFormat="1" applyFont="1" applyFill="1" applyBorder="1" applyAlignment="1">
      <alignment horizontal="left" vertical="center"/>
    </xf>
    <xf numFmtId="0" fontId="40" fillId="2" borderId="0" xfId="0" applyFont="1" applyFill="1"/>
    <xf numFmtId="0" fontId="12" fillId="2" borderId="11" xfId="0" applyFont="1" applyFill="1" applyBorder="1"/>
    <xf numFmtId="0" fontId="12" fillId="2" borderId="3" xfId="0" applyFont="1" applyFill="1" applyBorder="1"/>
    <xf numFmtId="0" fontId="0" fillId="5" borderId="15" xfId="0" applyFill="1" applyBorder="1"/>
    <xf numFmtId="0" fontId="12" fillId="2" borderId="10" xfId="0" applyFont="1" applyFill="1" applyBorder="1" applyAlignment="1">
      <alignment horizontal="left" vertical="top" wrapText="1" indent="2"/>
    </xf>
    <xf numFmtId="0" fontId="12" fillId="2" borderId="10" xfId="0" applyFont="1" applyFill="1" applyBorder="1" applyAlignment="1">
      <alignment horizontal="left" vertical="top" indent="2"/>
    </xf>
    <xf numFmtId="0" fontId="0" fillId="2" borderId="8" xfId="0" applyFill="1" applyBorder="1" applyAlignment="1">
      <alignment horizontal="left" vertical="top" indent="2"/>
    </xf>
    <xf numFmtId="0" fontId="0" fillId="2" borderId="7" xfId="0" applyFill="1" applyBorder="1" applyAlignment="1">
      <alignment horizontal="left" vertical="top" indent="2"/>
    </xf>
    <xf numFmtId="0" fontId="0" fillId="2" borderId="9" xfId="0" applyFill="1" applyBorder="1"/>
    <xf numFmtId="0" fontId="0" fillId="2" borderId="10" xfId="0" applyFill="1" applyBorder="1" applyAlignment="1">
      <alignment horizontal="left" vertical="top" indent="2"/>
    </xf>
    <xf numFmtId="0" fontId="0" fillId="2" borderId="0" xfId="0" applyFill="1" applyAlignment="1">
      <alignment horizontal="left" vertical="top" indent="2"/>
    </xf>
    <xf numFmtId="0" fontId="0" fillId="3" borderId="0" xfId="0" applyFill="1" applyAlignment="1">
      <alignment horizontal="left" vertical="top" indent="2"/>
    </xf>
    <xf numFmtId="0" fontId="12" fillId="2" borderId="0" xfId="0" applyFont="1" applyFill="1" applyAlignment="1">
      <alignment horizontal="left" vertical="top"/>
    </xf>
    <xf numFmtId="0" fontId="0" fillId="4" borderId="0" xfId="0" applyFill="1" applyAlignment="1">
      <alignment horizontal="left" vertical="top" indent="2"/>
    </xf>
    <xf numFmtId="0" fontId="0" fillId="5" borderId="0" xfId="0" applyFill="1" applyAlignment="1">
      <alignment horizontal="left" vertical="top" indent="2"/>
    </xf>
    <xf numFmtId="0" fontId="41" fillId="5" borderId="0" xfId="1" applyFont="1" applyFill="1" applyBorder="1"/>
    <xf numFmtId="0" fontId="41" fillId="5" borderId="0" xfId="1" quotePrefix="1" applyFont="1" applyFill="1" applyBorder="1"/>
    <xf numFmtId="0" fontId="12" fillId="2" borderId="0" xfId="0" applyFont="1" applyFill="1" applyAlignment="1">
      <alignment horizontal="left" vertical="top" indent="2"/>
    </xf>
    <xf numFmtId="0" fontId="12" fillId="2" borderId="0" xfId="0" applyFont="1" applyFill="1" applyAlignment="1">
      <alignment horizontal="left" vertical="top" wrapText="1" indent="2"/>
    </xf>
    <xf numFmtId="0" fontId="12" fillId="5" borderId="0" xfId="0" applyFont="1" applyFill="1" applyAlignment="1">
      <alignment horizontal="left" vertical="top" indent="2"/>
    </xf>
    <xf numFmtId="0" fontId="0" fillId="5" borderId="7" xfId="0" applyFill="1" applyBorder="1"/>
    <xf numFmtId="0" fontId="0" fillId="6" borderId="0" xfId="0" applyFill="1"/>
    <xf numFmtId="2" fontId="12" fillId="4" borderId="21" xfId="0" applyNumberFormat="1" applyFont="1" applyFill="1" applyBorder="1" applyAlignment="1">
      <alignment horizontal="left"/>
    </xf>
    <xf numFmtId="2" fontId="12" fillId="4" borderId="16" xfId="0" applyNumberFormat="1" applyFont="1" applyFill="1" applyBorder="1" applyAlignment="1">
      <alignment horizontal="left"/>
    </xf>
    <xf numFmtId="2" fontId="12" fillId="4" borderId="18" xfId="0" applyNumberFormat="1" applyFont="1" applyFill="1" applyBorder="1" applyAlignment="1">
      <alignment horizontal="left"/>
    </xf>
    <xf numFmtId="0" fontId="12" fillId="5" borderId="9" xfId="0" applyFont="1" applyFill="1" applyBorder="1" applyAlignment="1">
      <alignment horizontal="left" vertical="center"/>
    </xf>
    <xf numFmtId="14" fontId="15" fillId="3" borderId="12" xfId="0" applyNumberFormat="1" applyFont="1" applyFill="1" applyBorder="1" applyAlignment="1" applyProtection="1">
      <alignment horizontal="left" vertical="center" wrapText="1"/>
      <protection locked="0"/>
    </xf>
    <xf numFmtId="0" fontId="13" fillId="0" borderId="11" xfId="0" applyFont="1" applyBorder="1" applyAlignment="1">
      <alignment horizontal="left" vertical="top" wrapText="1" indent="2"/>
    </xf>
    <xf numFmtId="0" fontId="13" fillId="0" borderId="1" xfId="0" applyFont="1" applyBorder="1" applyAlignment="1">
      <alignment horizontal="left" vertical="top" wrapText="1" indent="2"/>
    </xf>
    <xf numFmtId="0" fontId="36" fillId="6" borderId="8" xfId="0" applyFont="1" applyFill="1" applyBorder="1" applyAlignment="1">
      <alignment horizontal="left" vertical="center" indent="2"/>
    </xf>
    <xf numFmtId="0" fontId="36" fillId="6" borderId="7" xfId="0" applyFont="1" applyFill="1" applyBorder="1" applyAlignment="1">
      <alignment horizontal="left" vertical="center" indent="2"/>
    </xf>
    <xf numFmtId="0" fontId="36" fillId="6" borderId="9" xfId="0" applyFont="1" applyFill="1" applyBorder="1" applyAlignment="1">
      <alignment horizontal="left" vertical="center" indent="2"/>
    </xf>
    <xf numFmtId="0" fontId="36" fillId="6" borderId="10" xfId="0" applyFont="1" applyFill="1" applyBorder="1" applyAlignment="1">
      <alignment horizontal="left" vertical="center" indent="2"/>
    </xf>
    <xf numFmtId="0" fontId="36" fillId="6" borderId="0" xfId="0" applyFont="1" applyFill="1" applyAlignment="1">
      <alignment horizontal="left" vertical="center" indent="2"/>
    </xf>
    <xf numFmtId="0" fontId="36" fillId="6" borderId="2" xfId="0" applyFont="1" applyFill="1" applyBorder="1" applyAlignment="1">
      <alignment horizontal="left" vertical="center" indent="2"/>
    </xf>
    <xf numFmtId="0" fontId="12" fillId="2" borderId="10" xfId="0" applyFont="1" applyFill="1" applyBorder="1" applyAlignment="1">
      <alignment horizontal="left" wrapText="1" indent="2"/>
    </xf>
    <xf numFmtId="0" fontId="12" fillId="2" borderId="0" xfId="0" applyFont="1" applyFill="1" applyAlignment="1">
      <alignment horizontal="left" wrapText="1" indent="2"/>
    </xf>
    <xf numFmtId="0" fontId="13" fillId="0" borderId="10" xfId="0" applyFont="1" applyBorder="1" applyAlignment="1">
      <alignment horizontal="left" wrapText="1" indent="2"/>
    </xf>
    <xf numFmtId="0" fontId="13" fillId="0" borderId="0" xfId="0" applyFont="1" applyAlignment="1">
      <alignment horizontal="left" wrapText="1" indent="2"/>
    </xf>
    <xf numFmtId="0" fontId="13" fillId="2" borderId="11" xfId="0" applyFont="1" applyFill="1" applyBorder="1" applyAlignment="1">
      <alignment horizontal="left" wrapText="1" indent="2"/>
    </xf>
    <xf numFmtId="0" fontId="13" fillId="2" borderId="1" xfId="0" applyFont="1" applyFill="1" applyBorder="1" applyAlignment="1">
      <alignment horizontal="left" wrapText="1" indent="2"/>
    </xf>
    <xf numFmtId="0" fontId="13" fillId="2" borderId="10" xfId="0" applyFont="1" applyFill="1" applyBorder="1" applyAlignment="1">
      <alignment horizontal="left" wrapText="1" indent="2"/>
    </xf>
    <xf numFmtId="0" fontId="13" fillId="2" borderId="0" xfId="0" applyFont="1" applyFill="1" applyAlignment="1">
      <alignment horizontal="left" wrapText="1" indent="2"/>
    </xf>
    <xf numFmtId="0" fontId="33" fillId="6" borderId="0" xfId="0" applyFont="1" applyFill="1" applyAlignment="1">
      <alignment horizontal="left" vertical="center" indent="2"/>
    </xf>
    <xf numFmtId="0" fontId="31" fillId="0" borderId="10" xfId="0" applyFont="1" applyBorder="1" applyAlignment="1">
      <alignment horizontal="left" vertical="top" indent="2"/>
    </xf>
    <xf numFmtId="0" fontId="31" fillId="0" borderId="0" xfId="0" applyFont="1" applyAlignment="1">
      <alignment horizontal="left" vertical="top" indent="2"/>
    </xf>
    <xf numFmtId="0" fontId="13" fillId="0" borderId="10" xfId="0" applyFont="1" applyBorder="1" applyAlignment="1">
      <alignment horizontal="left" vertical="top" indent="2"/>
    </xf>
    <xf numFmtId="0" fontId="13" fillId="0" borderId="0" xfId="0" applyFont="1" applyAlignment="1">
      <alignment horizontal="left" vertical="top" indent="2"/>
    </xf>
    <xf numFmtId="0" fontId="13" fillId="0" borderId="0" xfId="0" applyFont="1" applyAlignment="1">
      <alignment horizontal="left" vertical="top" wrapText="1" indent="2"/>
    </xf>
    <xf numFmtId="0" fontId="8" fillId="2" borderId="10" xfId="0" applyFont="1" applyFill="1" applyBorder="1" applyAlignment="1">
      <alignment horizontal="left" vertical="top" wrapText="1" indent="2"/>
    </xf>
    <xf numFmtId="0" fontId="8" fillId="2" borderId="0" xfId="0" applyFont="1" applyFill="1" applyAlignment="1">
      <alignment horizontal="left" vertical="top" wrapText="1" indent="2"/>
    </xf>
    <xf numFmtId="0" fontId="12" fillId="2" borderId="10" xfId="0" applyFont="1" applyFill="1" applyBorder="1" applyAlignment="1">
      <alignment horizontal="left" vertical="top" indent="2"/>
    </xf>
    <xf numFmtId="0" fontId="12" fillId="2" borderId="0" xfId="0" applyFont="1" applyFill="1" applyAlignment="1">
      <alignment horizontal="left" vertical="top" indent="2"/>
    </xf>
    <xf numFmtId="0" fontId="13" fillId="2" borderId="0" xfId="0" applyFont="1" applyFill="1" applyAlignment="1">
      <alignment horizontal="left" vertical="top" wrapText="1" indent="2"/>
    </xf>
    <xf numFmtId="0" fontId="12" fillId="2" borderId="10" xfId="0" applyFont="1" applyFill="1" applyBorder="1" applyAlignment="1">
      <alignment horizontal="left" vertical="top" wrapText="1" indent="2"/>
    </xf>
    <xf numFmtId="0" fontId="12" fillId="2" borderId="0" xfId="0" applyFont="1" applyFill="1" applyAlignment="1">
      <alignment horizontal="left" vertical="top" wrapText="1" indent="2"/>
    </xf>
    <xf numFmtId="0" fontId="30" fillId="0" borderId="10" xfId="0" applyFont="1" applyBorder="1" applyAlignment="1">
      <alignment horizontal="left" vertical="center" indent="2"/>
    </xf>
    <xf numFmtId="0" fontId="30" fillId="0" borderId="0" xfId="0" applyFont="1" applyAlignment="1">
      <alignment horizontal="left" vertical="center" indent="2"/>
    </xf>
    <xf numFmtId="0" fontId="8" fillId="2" borderId="2" xfId="0" applyFont="1" applyFill="1" applyBorder="1" applyAlignment="1">
      <alignment horizontal="left" vertical="top" wrapText="1" indent="2"/>
    </xf>
    <xf numFmtId="0" fontId="32" fillId="2" borderId="0" xfId="1" applyFont="1" applyFill="1" applyAlignment="1" applyProtection="1">
      <protection locked="0"/>
    </xf>
    <xf numFmtId="0" fontId="32" fillId="0" borderId="0" xfId="1" applyFont="1" applyAlignment="1" applyProtection="1">
      <protection locked="0"/>
    </xf>
    <xf numFmtId="14" fontId="12" fillId="3" borderId="12" xfId="0" applyNumberFormat="1" applyFont="1" applyFill="1" applyBorder="1" applyAlignment="1" applyProtection="1">
      <alignment horizontal="left" vertical="center" wrapText="1"/>
      <protection locked="0"/>
    </xf>
    <xf numFmtId="0" fontId="12" fillId="3" borderId="14" xfId="0" applyFont="1" applyFill="1" applyBorder="1" applyAlignment="1" applyProtection="1">
      <alignment horizontal="left" vertical="center" wrapText="1"/>
      <protection locked="0"/>
    </xf>
    <xf numFmtId="0" fontId="12" fillId="3" borderId="13" xfId="0" applyFont="1" applyFill="1" applyBorder="1" applyAlignment="1" applyProtection="1">
      <alignment horizontal="left" vertical="center" wrapText="1"/>
      <protection locked="0"/>
    </xf>
    <xf numFmtId="0" fontId="36" fillId="6" borderId="10" xfId="0" applyFont="1" applyFill="1" applyBorder="1" applyAlignment="1">
      <alignment horizontal="left" vertical="center" indent="3"/>
    </xf>
    <xf numFmtId="0" fontId="36" fillId="6" borderId="0" xfId="0" applyFont="1" applyFill="1" applyAlignment="1">
      <alignment horizontal="left" vertical="center" indent="3"/>
    </xf>
    <xf numFmtId="0" fontId="36" fillId="6" borderId="2" xfId="0" applyFont="1" applyFill="1" applyBorder="1" applyAlignment="1">
      <alignment horizontal="left" vertical="center" indent="3"/>
    </xf>
    <xf numFmtId="0" fontId="25" fillId="2" borderId="0" xfId="0" applyFont="1" applyFill="1" applyAlignment="1">
      <alignment horizontal="center"/>
    </xf>
    <xf numFmtId="0" fontId="8" fillId="2" borderId="0" xfId="0" applyFont="1" applyFill="1" applyAlignment="1">
      <alignment horizontal="center" vertical="center" wrapText="1"/>
    </xf>
    <xf numFmtId="0" fontId="35" fillId="2" borderId="0" xfId="0" applyFont="1" applyFill="1" applyAlignment="1">
      <alignment horizontal="center"/>
    </xf>
    <xf numFmtId="0" fontId="9" fillId="2" borderId="0" xfId="0" applyFont="1" applyFill="1" applyAlignment="1">
      <alignment horizontal="left" vertical="center" wrapText="1"/>
    </xf>
    <xf numFmtId="0" fontId="8" fillId="2" borderId="12" xfId="0" applyFont="1" applyFill="1" applyBorder="1" applyAlignment="1">
      <alignment horizontal="left"/>
    </xf>
    <xf numFmtId="0" fontId="9" fillId="2" borderId="14" xfId="0" applyFont="1" applyFill="1" applyBorder="1" applyAlignment="1">
      <alignment horizontal="left" vertical="center" wrapText="1"/>
    </xf>
    <xf numFmtId="0" fontId="35" fillId="2" borderId="0" xfId="0" applyFont="1" applyFill="1" applyAlignment="1">
      <alignment horizontal="center" vertical="center"/>
    </xf>
    <xf numFmtId="0" fontId="36" fillId="6" borderId="8" xfId="0" applyFont="1" applyFill="1" applyBorder="1" applyAlignment="1">
      <alignment horizontal="left" vertical="center" indent="3"/>
    </xf>
    <xf numFmtId="0" fontId="36" fillId="6" borderId="7" xfId="0" applyFont="1" applyFill="1" applyBorder="1" applyAlignment="1">
      <alignment horizontal="left" vertical="center" indent="3"/>
    </xf>
    <xf numFmtId="0" fontId="36" fillId="6" borderId="9" xfId="0" applyFont="1" applyFill="1" applyBorder="1" applyAlignment="1">
      <alignment horizontal="left" vertical="center" indent="3"/>
    </xf>
    <xf numFmtId="0" fontId="22" fillId="2" borderId="0" xfId="0" applyFont="1" applyFill="1" applyAlignment="1">
      <alignment horizontal="center" vertical="top"/>
    </xf>
    <xf numFmtId="0" fontId="8" fillId="2" borderId="0" xfId="0" applyFont="1" applyFill="1" applyAlignment="1">
      <alignment horizontal="left" vertical="center" wrapText="1"/>
    </xf>
    <xf numFmtId="2" fontId="17" fillId="2" borderId="0" xfId="0" applyNumberFormat="1" applyFont="1" applyFill="1" applyAlignment="1">
      <alignment horizontal="center" vertical="center"/>
    </xf>
    <xf numFmtId="2" fontId="17" fillId="4" borderId="0" xfId="0" applyNumberFormat="1" applyFont="1" applyFill="1" applyAlignment="1">
      <alignment horizontal="center" vertical="center"/>
    </xf>
  </cellXfs>
  <cellStyles count="2">
    <cellStyle name="Hyperlink" xfId="1" builtinId="8"/>
    <cellStyle name="Normal" xfId="0" builtinId="0"/>
  </cellStyles>
  <dxfs count="10">
    <dxf>
      <fill>
        <patternFill>
          <bgColor rgb="FFF7E8BE"/>
        </patternFill>
      </fill>
    </dxf>
    <dxf>
      <fill>
        <patternFill>
          <bgColor rgb="FFF7E8BE"/>
        </patternFill>
      </fill>
    </dxf>
    <dxf>
      <fill>
        <patternFill>
          <bgColor rgb="FFF7E8BE"/>
        </patternFill>
      </fill>
    </dxf>
    <dxf>
      <fill>
        <patternFill>
          <fgColor rgb="FFF7E8BE"/>
          <bgColor rgb="FFF7E8BE"/>
        </patternFill>
      </fill>
    </dxf>
    <dxf>
      <fill>
        <patternFill>
          <fgColor rgb="FFF7E8BE"/>
          <bgColor rgb="FFF7E8BE"/>
        </patternFill>
      </fill>
    </dxf>
    <dxf>
      <fill>
        <patternFill patternType="solid">
          <fgColor rgb="FFF7E8BE"/>
          <bgColor rgb="FFF7E8BE"/>
        </patternFill>
      </fill>
    </dxf>
    <dxf>
      <fill>
        <patternFill>
          <bgColor theme="0"/>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F7E8BE"/>
      <color rgb="FF9DD3BE"/>
      <color rgb="FFAAC7EE"/>
      <color rgb="FFF3EEDD"/>
      <color rgb="FF9DDBBE"/>
      <color rgb="FFC5C5C5"/>
      <color rgb="FFC5C1C7"/>
      <color rgb="FFE0CBFD"/>
      <color rgb="FFFECE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gov.uk/government/organisations/natural-england" TargetMode="External"/><Relationship Id="rId7" Type="http://schemas.openxmlformats.org/officeDocument/2006/relationships/hyperlink" Target="https://www.flickr.com/photos/markkilner/30110357851/" TargetMode="External"/><Relationship Id="rId2" Type="http://schemas.openxmlformats.org/officeDocument/2006/relationships/image" Target="../media/image1.png"/><Relationship Id="rId1" Type="http://schemas.openxmlformats.org/officeDocument/2006/relationships/hyperlink" Target="https://ee.ricardo.com/" TargetMode="External"/><Relationship Id="rId6" Type="http://schemas.openxmlformats.org/officeDocument/2006/relationships/image" Target="../media/image3.jpg"/><Relationship Id="rId5" Type="http://schemas.openxmlformats.org/officeDocument/2006/relationships/hyperlink" Target="#'Stodmarsh SAC and Ramsar'!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1"/>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3"/>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3</xdr:col>
      <xdr:colOff>247649</xdr:colOff>
      <xdr:row>8</xdr:row>
      <xdr:rowOff>314326</xdr:rowOff>
    </xdr:from>
    <xdr:to>
      <xdr:col>9</xdr:col>
      <xdr:colOff>28575</xdr:colOff>
      <xdr:row>11</xdr:row>
      <xdr:rowOff>57150</xdr:rowOff>
    </xdr:to>
    <xdr:sp macro="" textlink="">
      <xdr:nvSpPr>
        <xdr:cNvPr id="16" name="TextBox 15">
          <a:hlinkClick xmlns:r="http://schemas.openxmlformats.org/officeDocument/2006/relationships" r:id="rId5"/>
          <a:extLst>
            <a:ext uri="{FF2B5EF4-FFF2-40B4-BE49-F238E27FC236}">
              <a16:creationId xmlns:a16="http://schemas.microsoft.com/office/drawing/2014/main" id="{DA266339-9600-4E62-B26B-3BF11ACB0CB9}"/>
            </a:ext>
          </a:extLst>
        </xdr:cNvPr>
        <xdr:cNvSpPr txBox="1"/>
      </xdr:nvSpPr>
      <xdr:spPr>
        <a:xfrm>
          <a:off x="1390649" y="3209926"/>
          <a:ext cx="2066926" cy="695324"/>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rgbClr val="449669"/>
              </a:solidFill>
              <a:effectLst/>
              <a:latin typeface="Century Gothic" panose="020B0502020202020204" pitchFamily="34" charset="0"/>
              <a:ea typeface="+mn-ea"/>
              <a:cs typeface="+mn-cs"/>
            </a:rPr>
            <a:t>Stodmarsh SAC and Ramsar</a:t>
          </a:r>
        </a:p>
        <a:p>
          <a:pPr algn="ctr"/>
          <a:endParaRPr lang="en-GB" sz="1800" b="1">
            <a:solidFill>
              <a:srgbClr val="449669"/>
            </a:solidFill>
            <a:effectLst/>
            <a:latin typeface="Century Gothic" panose="020B0502020202020204" pitchFamily="34" charset="0"/>
            <a:ea typeface="+mn-ea"/>
            <a:cs typeface="+mn-cs"/>
          </a:endParaRPr>
        </a:p>
        <a:p>
          <a:pPr algn="ctr"/>
          <a:r>
            <a:rPr lang="en-GB" sz="1800" b="1">
              <a:solidFill>
                <a:srgbClr val="449669"/>
              </a:solidFill>
              <a:effectLst/>
              <a:latin typeface="+mn-lt"/>
              <a:ea typeface="+mn-ea"/>
              <a:cs typeface="+mn-cs"/>
            </a:rPr>
            <a:t> </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190500</xdr:colOff>
      <xdr:row>11</xdr:row>
      <xdr:rowOff>219075</xdr:rowOff>
    </xdr:from>
    <xdr:to>
      <xdr:col>10</xdr:col>
      <xdr:colOff>38100</xdr:colOff>
      <xdr:row>11</xdr:row>
      <xdr:rowOff>219075</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52500" y="406717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hlinkClick xmlns:r="http://schemas.openxmlformats.org/officeDocument/2006/relationships" r:id="rId5"/>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Designated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editAs="oneCell">
    <xdr:from>
      <xdr:col>11</xdr:col>
      <xdr:colOff>349299</xdr:colOff>
      <xdr:row>2</xdr:row>
      <xdr:rowOff>3572</xdr:rowOff>
    </xdr:from>
    <xdr:to>
      <xdr:col>19</xdr:col>
      <xdr:colOff>272722</xdr:colOff>
      <xdr:row>10</xdr:row>
      <xdr:rowOff>133349</xdr:rowOff>
    </xdr:to>
    <xdr:pic>
      <xdr:nvPicPr>
        <xdr:cNvPr id="12" name="Picture 11">
          <a:extLst>
            <a:ext uri="{FF2B5EF4-FFF2-40B4-BE49-F238E27FC236}">
              <a16:creationId xmlns:a16="http://schemas.microsoft.com/office/drawing/2014/main" id="{D14C23C2-8755-46A0-B5ED-694153E255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 uri="{837473B0-CC2E-450A-ABE3-18F120FF3D39}">
              <a1611:picAttrSrcUrl xmlns:a1611="http://schemas.microsoft.com/office/drawing/2016/11/main" r:id="rId7"/>
            </a:ext>
          </a:extLst>
        </a:blip>
        <a:srcRect/>
        <a:stretch/>
      </xdr:blipFill>
      <xdr:spPr bwMode="auto">
        <a:xfrm>
          <a:off x="4540299" y="727472"/>
          <a:ext cx="4533523" cy="3025377"/>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133349</xdr:colOff>
      <xdr:row>31</xdr:row>
      <xdr:rowOff>97185</xdr:rowOff>
    </xdr:to>
    <xdr:pic>
      <xdr:nvPicPr>
        <xdr:cNvPr id="2" name="Picture 1">
          <a:extLst>
            <a:ext uri="{FF2B5EF4-FFF2-40B4-BE49-F238E27FC236}">
              <a16:creationId xmlns:a16="http://schemas.microsoft.com/office/drawing/2014/main" id="{73F9686F-FECB-40F9-8930-2FC6689C80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30" r="330"/>
        <a:stretch/>
      </xdr:blipFill>
      <xdr:spPr>
        <a:xfrm>
          <a:off x="883442" y="2733675"/>
          <a:ext cx="6565107" cy="428818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3" name="TextBox 2">
          <a:extLst>
            <a:ext uri="{FF2B5EF4-FFF2-40B4-BE49-F238E27FC236}">
              <a16:creationId xmlns:a16="http://schemas.microsoft.com/office/drawing/2014/main" id="{96182B65-B1CA-4D75-A56D-CCA1C1966160}"/>
            </a:ext>
          </a:extLst>
        </xdr:cNvPr>
        <xdr:cNvSpPr txBox="1"/>
      </xdr:nvSpPr>
      <xdr:spPr>
        <a:xfrm>
          <a:off x="748504" y="2770178"/>
          <a:ext cx="8223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1</xdr:colOff>
      <xdr:row>4</xdr:row>
      <xdr:rowOff>1</xdr:rowOff>
    </xdr:from>
    <xdr:to>
      <xdr:col>32</xdr:col>
      <xdr:colOff>163286</xdr:colOff>
      <xdr:row>16</xdr:row>
      <xdr:rowOff>94373</xdr:rowOff>
    </xdr:to>
    <xdr:pic>
      <xdr:nvPicPr>
        <xdr:cNvPr id="2" name="Picture 1">
          <a:extLst>
            <a:ext uri="{FF2B5EF4-FFF2-40B4-BE49-F238E27FC236}">
              <a16:creationId xmlns:a16="http://schemas.microsoft.com/office/drawing/2014/main" id="{2BE1FDF7-044C-422D-B40C-B1436DDAC8A8}"/>
            </a:ext>
          </a:extLst>
        </xdr:cNvPr>
        <xdr:cNvPicPr>
          <a:picLocks noChangeAspect="1"/>
        </xdr:cNvPicPr>
      </xdr:nvPicPr>
      <xdr:blipFill>
        <a:blip xmlns:r="http://schemas.openxmlformats.org/officeDocument/2006/relationships" r:embed="rId1"/>
        <a:stretch>
          <a:fillRect/>
        </a:stretch>
      </xdr:blipFill>
      <xdr:spPr>
        <a:xfrm>
          <a:off x="8069037" y="775608"/>
          <a:ext cx="8245928" cy="5768551"/>
        </a:xfrm>
        <a:prstGeom prst="rect">
          <a:avLst/>
        </a:prstGeom>
        <a:ln w="38100">
          <a:solidFill>
            <a:srgbClr val="449669"/>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13</xdr:row>
      <xdr:rowOff>174224</xdr:rowOff>
    </xdr:from>
    <xdr:to>
      <xdr:col>4</xdr:col>
      <xdr:colOff>564810</xdr:colOff>
      <xdr:row>17</xdr:row>
      <xdr:rowOff>148570</xdr:rowOff>
    </xdr:to>
    <xdr:sp macro="" textlink="">
      <xdr:nvSpPr>
        <xdr:cNvPr id="2" name="TextBox 7">
          <a:extLst>
            <a:ext uri="{FF2B5EF4-FFF2-40B4-BE49-F238E27FC236}">
              <a16:creationId xmlns:a16="http://schemas.microsoft.com/office/drawing/2014/main" id="{1B3DE04B-2D27-4F71-BB42-996C15147B0A}"/>
            </a:ext>
          </a:extLst>
        </xdr:cNvPr>
        <xdr:cNvSpPr txBox="1"/>
      </xdr:nvSpPr>
      <xdr:spPr>
        <a:xfrm>
          <a:off x="2142766" y="2498324"/>
          <a:ext cx="1108094"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13</xdr:row>
      <xdr:rowOff>183749</xdr:rowOff>
    </xdr:from>
    <xdr:to>
      <xdr:col>6</xdr:col>
      <xdr:colOff>542130</xdr:colOff>
      <xdr:row>17</xdr:row>
      <xdr:rowOff>158095</xdr:rowOff>
    </xdr:to>
    <xdr:sp macro="" textlink="">
      <xdr:nvSpPr>
        <xdr:cNvPr id="3" name="TextBox 14">
          <a:extLst>
            <a:ext uri="{FF2B5EF4-FFF2-40B4-BE49-F238E27FC236}">
              <a16:creationId xmlns:a16="http://schemas.microsoft.com/office/drawing/2014/main" id="{7135F6D9-1BD8-482B-AC76-DBBD97934128}"/>
            </a:ext>
          </a:extLst>
        </xdr:cNvPr>
        <xdr:cNvSpPr txBox="1"/>
      </xdr:nvSpPr>
      <xdr:spPr>
        <a:xfrm>
          <a:off x="3401320" y="2507849"/>
          <a:ext cx="1109560"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13</xdr:row>
      <xdr:rowOff>183749</xdr:rowOff>
    </xdr:from>
    <xdr:to>
      <xdr:col>8</xdr:col>
      <xdr:colOff>529708</xdr:colOff>
      <xdr:row>17</xdr:row>
      <xdr:rowOff>158095</xdr:rowOff>
    </xdr:to>
    <xdr:sp macro="" textlink="">
      <xdr:nvSpPr>
        <xdr:cNvPr id="4" name="TextBox 15">
          <a:extLst>
            <a:ext uri="{FF2B5EF4-FFF2-40B4-BE49-F238E27FC236}">
              <a16:creationId xmlns:a16="http://schemas.microsoft.com/office/drawing/2014/main" id="{F732F5A7-B8F7-49D2-B87D-8F2F6AE0CB61}"/>
            </a:ext>
          </a:extLst>
        </xdr:cNvPr>
        <xdr:cNvSpPr txBox="1"/>
      </xdr:nvSpPr>
      <xdr:spPr>
        <a:xfrm>
          <a:off x="4673063" y="2507849"/>
          <a:ext cx="1108095"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12299</xdr:rowOff>
    </xdr:from>
    <xdr:to>
      <xdr:col>10</xdr:col>
      <xdr:colOff>515083</xdr:colOff>
      <xdr:row>17</xdr:row>
      <xdr:rowOff>13575</xdr:rowOff>
    </xdr:to>
    <xdr:sp macro="" textlink="">
      <xdr:nvSpPr>
        <xdr:cNvPr id="5" name="TextBox 16">
          <a:extLst>
            <a:ext uri="{FF2B5EF4-FFF2-40B4-BE49-F238E27FC236}">
              <a16:creationId xmlns:a16="http://schemas.microsoft.com/office/drawing/2014/main" id="{59E32E47-4368-44F1-BAD5-52259A2241B7}"/>
            </a:ext>
          </a:extLst>
        </xdr:cNvPr>
        <xdr:cNvSpPr txBox="1"/>
      </xdr:nvSpPr>
      <xdr:spPr>
        <a:xfrm>
          <a:off x="5941138" y="2520549"/>
          <a:ext cx="1108095" cy="55372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66676</xdr:colOff>
      <xdr:row>14</xdr:row>
      <xdr:rowOff>35163</xdr:rowOff>
    </xdr:to>
    <xdr:pic>
      <xdr:nvPicPr>
        <xdr:cNvPr id="6" name="Picture 5">
          <a:hlinkClick xmlns:r="http://schemas.openxmlformats.org/officeDocument/2006/relationships" r:id="rId1"/>
          <a:extLst>
            <a:ext uri="{FF2B5EF4-FFF2-40B4-BE49-F238E27FC236}">
              <a16:creationId xmlns:a16="http://schemas.microsoft.com/office/drawing/2014/main" id="{3760FFE6-7D47-44CC-A843-61CA2FF28D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4700" y="1527176"/>
          <a:ext cx="1346201" cy="1000362"/>
        </a:xfrm>
        <a:prstGeom prst="rect">
          <a:avLst/>
        </a:prstGeom>
      </xdr:spPr>
    </xdr:pic>
    <xdr:clientData/>
  </xdr:twoCellAnchor>
  <xdr:twoCellAnchor editAs="oneCell">
    <xdr:from>
      <xdr:col>6</xdr:col>
      <xdr:colOff>569393</xdr:colOff>
      <xdr:row>8</xdr:row>
      <xdr:rowOff>121426</xdr:rowOff>
    </xdr:from>
    <xdr:to>
      <xdr:col>9</xdr:col>
      <xdr:colOff>36288</xdr:colOff>
      <xdr:row>14</xdr:row>
      <xdr:rowOff>29656</xdr:rowOff>
    </xdr:to>
    <xdr:pic>
      <xdr:nvPicPr>
        <xdr:cNvPr id="7" name="Picture 6">
          <a:hlinkClick xmlns:r="http://schemas.openxmlformats.org/officeDocument/2006/relationships" r:id="rId3"/>
          <a:extLst>
            <a:ext uri="{FF2B5EF4-FFF2-40B4-BE49-F238E27FC236}">
              <a16:creationId xmlns:a16="http://schemas.microsoft.com/office/drawing/2014/main" id="{B00A9BBC-3084-4B9D-9DAF-74B817A248E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8143" y="1524776"/>
          <a:ext cx="1381420" cy="994080"/>
        </a:xfrm>
        <a:prstGeom prst="rect">
          <a:avLst/>
        </a:prstGeom>
      </xdr:spPr>
    </xdr:pic>
    <xdr:clientData/>
  </xdr:twoCellAnchor>
  <xdr:twoCellAnchor editAs="oneCell">
    <xdr:from>
      <xdr:col>4</xdr:col>
      <xdr:colOff>586978</xdr:colOff>
      <xdr:row>8</xdr:row>
      <xdr:rowOff>0</xdr:rowOff>
    </xdr:from>
    <xdr:to>
      <xdr:col>7</xdr:col>
      <xdr:colOff>56113</xdr:colOff>
      <xdr:row>13</xdr:row>
      <xdr:rowOff>85739</xdr:rowOff>
    </xdr:to>
    <xdr:pic>
      <xdr:nvPicPr>
        <xdr:cNvPr id="8" name="Picture 7">
          <a:hlinkClick xmlns:r="http://schemas.openxmlformats.org/officeDocument/2006/relationships" r:id="rId5"/>
          <a:extLst>
            <a:ext uri="{FF2B5EF4-FFF2-40B4-BE49-F238E27FC236}">
              <a16:creationId xmlns:a16="http://schemas.microsoft.com/office/drawing/2014/main" id="{473F45A0-B570-4CDD-9740-598DC1CFF1F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73028" y="1403350"/>
          <a:ext cx="1386835" cy="987439"/>
        </a:xfrm>
        <a:prstGeom prst="rect">
          <a:avLst/>
        </a:prstGeom>
      </xdr:spPr>
    </xdr:pic>
    <xdr:clientData/>
  </xdr:twoCellAnchor>
  <xdr:twoCellAnchor editAs="oneCell">
    <xdr:from>
      <xdr:col>8</xdr:col>
      <xdr:colOff>552868</xdr:colOff>
      <xdr:row>8</xdr:row>
      <xdr:rowOff>0</xdr:rowOff>
    </xdr:from>
    <xdr:to>
      <xdr:col>11</xdr:col>
      <xdr:colOff>28313</xdr:colOff>
      <xdr:row>13</xdr:row>
      <xdr:rowOff>86194</xdr:rowOff>
    </xdr:to>
    <xdr:pic>
      <xdr:nvPicPr>
        <xdr:cNvPr id="9" name="Picture 8">
          <a:hlinkClick xmlns:r="http://schemas.openxmlformats.org/officeDocument/2006/relationships" r:id="rId7"/>
          <a:extLst>
            <a:ext uri="{FF2B5EF4-FFF2-40B4-BE49-F238E27FC236}">
              <a16:creationId xmlns:a16="http://schemas.microsoft.com/office/drawing/2014/main" id="{2737E14A-647B-4FCD-BDEF-2B147A8A644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04318" y="1403350"/>
          <a:ext cx="1393145" cy="994244"/>
        </a:xfrm>
        <a:prstGeom prst="rect">
          <a:avLst/>
        </a:prstGeom>
      </xdr:spPr>
    </xdr:pic>
    <xdr:clientData/>
  </xdr:twoCellAnchor>
  <xdr:twoCellAnchor editAs="oneCell">
    <xdr:from>
      <xdr:col>0</xdr:col>
      <xdr:colOff>373254</xdr:colOff>
      <xdr:row>66</xdr:row>
      <xdr:rowOff>99703</xdr:rowOff>
    </xdr:from>
    <xdr:to>
      <xdr:col>12</xdr:col>
      <xdr:colOff>523876</xdr:colOff>
      <xdr:row>70</xdr:row>
      <xdr:rowOff>256081</xdr:rowOff>
    </xdr:to>
    <xdr:pic>
      <xdr:nvPicPr>
        <xdr:cNvPr id="10" name="Picture 9">
          <a:extLst>
            <a:ext uri="{FF2B5EF4-FFF2-40B4-BE49-F238E27FC236}">
              <a16:creationId xmlns:a16="http://schemas.microsoft.com/office/drawing/2014/main" id="{EBDD18E8-478C-4F9D-9C5C-FBC6539B368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593953"/>
          <a:ext cx="7938897" cy="1794678"/>
        </a:xfrm>
        <a:prstGeom prst="rect">
          <a:avLst/>
        </a:prstGeom>
      </xdr:spPr>
    </xdr:pic>
    <xdr:clientData/>
  </xdr:twoCellAnchor>
  <xdr:twoCellAnchor editAs="oneCell">
    <xdr:from>
      <xdr:col>2</xdr:col>
      <xdr:colOff>561977</xdr:colOff>
      <xdr:row>27</xdr:row>
      <xdr:rowOff>104779</xdr:rowOff>
    </xdr:from>
    <xdr:to>
      <xdr:col>11</xdr:col>
      <xdr:colOff>101906</xdr:colOff>
      <xdr:row>35</xdr:row>
      <xdr:rowOff>428625</xdr:rowOff>
    </xdr:to>
    <xdr:pic>
      <xdr:nvPicPr>
        <xdr:cNvPr id="11" name="Picture 10">
          <a:extLst>
            <a:ext uri="{FF2B5EF4-FFF2-40B4-BE49-F238E27FC236}">
              <a16:creationId xmlns:a16="http://schemas.microsoft.com/office/drawing/2014/main" id="{5E7B813C-A723-438A-B3F7-25EAA2B04D6B}"/>
            </a:ext>
          </a:extLst>
        </xdr:cNvPr>
        <xdr:cNvPicPr>
          <a:picLocks noChangeAspect="1"/>
        </xdr:cNvPicPr>
      </xdr:nvPicPr>
      <xdr:blipFill rotWithShape="1">
        <a:blip xmlns:r="http://schemas.openxmlformats.org/officeDocument/2006/relationships" r:embed="rId10"/>
        <a:srcRect l="51428" t="38163" r="34591" b="44722"/>
        <a:stretch/>
      </xdr:blipFill>
      <xdr:spPr>
        <a:xfrm>
          <a:off x="1844677" y="5127629"/>
          <a:ext cx="5407329" cy="17144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mapapps2.bgs.ac.uk/ukso/home.html?layers=NVZEng"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nrfa.ceh.ac.uk/data/station/spatial/40011"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dimension ref="M5:Y12"/>
  <sheetViews>
    <sheetView showGridLines="0" showRowColHeaders="0" tabSelected="1" zoomScaleNormal="100" workbookViewId="0">
      <selection activeCell="E16" sqref="E16"/>
    </sheetView>
  </sheetViews>
  <sheetFormatPr defaultColWidth="5.7109375" defaultRowHeight="28.5" customHeight="1"/>
  <cols>
    <col min="1" max="12" width="5.7109375" style="2"/>
    <col min="13" max="13" width="30.28515625" style="2" bestFit="1" customWidth="1"/>
    <col min="14" max="14" width="5.7109375" style="2"/>
    <col min="15" max="15" width="4.5703125" style="2" customWidth="1"/>
    <col min="16" max="20" width="5.7109375" style="2"/>
    <col min="21" max="21" width="5.7109375" style="2" customWidth="1"/>
    <col min="22" max="16384" width="5.7109375" style="2"/>
  </cols>
  <sheetData>
    <row r="5" spans="13:25" ht="28.5" customHeight="1">
      <c r="Y5"/>
    </row>
    <row r="11" spans="13:25" ht="18" customHeight="1"/>
    <row r="12" spans="13:25" ht="45.75">
      <c r="M12" s="100" t="s">
        <v>0</v>
      </c>
    </row>
  </sheetData>
  <sheetProtection algorithmName="SHA-512" hashValue="oFbX9ZUXXa/LxLtxMEY5ba7IsT8LAIqeqdRuu2Pr6Z3s192f89Tj7LJAG4vglwGYo+hNfqi7k1mM/RfCBTiHdw==" saltValue="85N1E5GO1Hj7xsxyf7ivfw=="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46A1-C6EE-4AA8-8A3A-C1EBF31A9FD9}">
  <dimension ref="B6:K33"/>
  <sheetViews>
    <sheetView topLeftCell="A10" workbookViewId="0">
      <selection activeCell="C16" sqref="C16"/>
    </sheetView>
  </sheetViews>
  <sheetFormatPr defaultColWidth="9.28515625" defaultRowHeight="15"/>
  <cols>
    <col min="1" max="1" width="9.28515625" style="1"/>
    <col min="2" max="2" width="27.7109375" style="1" customWidth="1"/>
    <col min="3" max="3" width="26.7109375" style="1" customWidth="1"/>
    <col min="4" max="4" width="9.28515625" style="1"/>
    <col min="5" max="5" width="15" style="1" customWidth="1"/>
    <col min="6" max="6" width="12.5703125" style="1" customWidth="1"/>
    <col min="7" max="9" width="9.28515625" style="1"/>
    <col min="10" max="10" width="7.28515625" style="1" customWidth="1"/>
    <col min="11" max="16384" width="9.28515625" style="1"/>
  </cols>
  <sheetData>
    <row r="6" spans="2:11" ht="17.25">
      <c r="K6" s="6"/>
    </row>
    <row r="7" spans="2:11" ht="18" customHeight="1">
      <c r="F7" s="4"/>
      <c r="G7" s="5"/>
      <c r="H7" s="5"/>
      <c r="I7" s="4"/>
      <c r="K7" s="7"/>
    </row>
    <row r="8" spans="2:11" ht="12" customHeight="1">
      <c r="F8" s="3"/>
      <c r="G8" s="3"/>
      <c r="H8" s="3"/>
      <c r="I8" s="9"/>
      <c r="K8" s="7"/>
    </row>
    <row r="9" spans="2:11" ht="18" thickBot="1">
      <c r="B9" s="14" t="s">
        <v>121</v>
      </c>
      <c r="D9" s="22"/>
      <c r="E9" s="273" t="s">
        <v>131</v>
      </c>
      <c r="G9" s="3"/>
      <c r="H9" s="3"/>
      <c r="I9" s="9"/>
      <c r="K9" s="7"/>
    </row>
    <row r="10" spans="2:11" ht="21" customHeight="1" thickTop="1" thickBot="1">
      <c r="B10" s="15" t="s">
        <v>122</v>
      </c>
      <c r="D10" s="24"/>
      <c r="E10" s="273"/>
      <c r="G10" s="3"/>
      <c r="H10" s="3" t="s">
        <v>132</v>
      </c>
      <c r="I10" s="9"/>
      <c r="J10" s="6"/>
      <c r="K10" s="8"/>
    </row>
    <row r="11" spans="2:11" ht="18.75" thickTop="1" thickBot="1">
      <c r="B11" s="16" t="s">
        <v>123</v>
      </c>
      <c r="D11" s="25"/>
      <c r="E11" s="273"/>
      <c r="G11" s="7"/>
      <c r="H11" s="7" t="e">
        <f>IF(C33&lt;0,"Well done, you're in the clear…,""")</f>
        <v>#VALUE!</v>
      </c>
      <c r="I11" s="7"/>
      <c r="J11" s="7"/>
      <c r="K11" s="8"/>
    </row>
    <row r="12" spans="2:11" ht="29.25" customHeight="1" thickTop="1">
      <c r="B12" s="17" t="s">
        <v>124</v>
      </c>
      <c r="D12" s="26"/>
      <c r="E12" s="273"/>
      <c r="G12" s="8"/>
      <c r="H12" s="8" t="s">
        <v>133</v>
      </c>
      <c r="I12" s="8"/>
      <c r="J12" s="8"/>
    </row>
    <row r="13" spans="2:11" ht="11.25" customHeight="1">
      <c r="B13" s="22"/>
      <c r="C13" s="22"/>
      <c r="D13" s="22"/>
      <c r="E13" s="22"/>
      <c r="F13" s="52"/>
    </row>
    <row r="14" spans="2:11">
      <c r="B14" s="22"/>
      <c r="C14" s="22"/>
      <c r="D14" s="22"/>
      <c r="E14" s="22"/>
      <c r="F14" s="52"/>
    </row>
    <row r="15" spans="2:11" ht="15.75" thickBot="1">
      <c r="B15" s="14" t="s">
        <v>125</v>
      </c>
      <c r="C15" s="49" t="str">
        <f>'Stage 1'!D34</f>
        <v/>
      </c>
      <c r="D15" s="22"/>
      <c r="E15" s="273" t="s">
        <v>134</v>
      </c>
    </row>
    <row r="16" spans="2:11" ht="16.5" thickTop="1" thickBot="1">
      <c r="B16" s="15" t="s">
        <v>126</v>
      </c>
      <c r="C16" s="23">
        <f>'Stage 3'!F27-'Stage 2'!F32</f>
        <v>0</v>
      </c>
      <c r="D16" s="22"/>
      <c r="E16" s="273"/>
    </row>
    <row r="17" spans="2:6" ht="16.5" thickTop="1" thickBot="1">
      <c r="B17" s="16" t="s">
        <v>127</v>
      </c>
      <c r="C17" s="50" t="e">
        <f>C15+C16</f>
        <v>#VALUE!</v>
      </c>
      <c r="D17" s="18"/>
      <c r="E17" s="273"/>
    </row>
    <row r="18" spans="2:6" ht="15.75" thickTop="1">
      <c r="B18" s="17" t="s">
        <v>128</v>
      </c>
      <c r="C18" s="51" t="e">
        <f>C17*1.2</f>
        <v>#VALUE!</v>
      </c>
      <c r="D18" s="18"/>
      <c r="E18" s="273"/>
    </row>
    <row r="19" spans="2:6" ht="17.25">
      <c r="B19" s="9"/>
      <c r="C19" s="11"/>
      <c r="D19" s="12"/>
    </row>
    <row r="20" spans="2:6" ht="17.25">
      <c r="B20" s="9"/>
      <c r="C20" s="11"/>
      <c r="D20" s="12"/>
    </row>
    <row r="21" spans="2:6" ht="17.25">
      <c r="B21" s="9"/>
      <c r="C21" s="12"/>
      <c r="D21" s="12"/>
    </row>
    <row r="22" spans="2:6" ht="17.25">
      <c r="B22" s="10"/>
      <c r="C22" s="13"/>
      <c r="D22" s="13"/>
    </row>
    <row r="24" spans="2:6" ht="15.75" thickBot="1">
      <c r="C24" s="49" t="str">
        <f>'Stage 1'!D29</f>
        <v/>
      </c>
      <c r="F24" s="275" t="e">
        <f>C33</f>
        <v>#VALUE!</v>
      </c>
    </row>
    <row r="25" spans="2:6" ht="15.75" thickTop="1">
      <c r="F25" s="275"/>
    </row>
    <row r="26" spans="2:6">
      <c r="F26" s="275"/>
    </row>
    <row r="27" spans="2:6" ht="15.75" thickBot="1">
      <c r="C27" s="23">
        <f>'Stage 3'!E27-'Stage 2'!E32</f>
        <v>0</v>
      </c>
      <c r="F27" s="275"/>
    </row>
    <row r="28" spans="2:6" ht="15.75" thickTop="1"/>
    <row r="29" spans="2:6" ht="15.75" thickBot="1">
      <c r="F29" s="275" t="e">
        <f>C18</f>
        <v>#VALUE!</v>
      </c>
    </row>
    <row r="30" spans="2:6" ht="16.5" thickTop="1" thickBot="1">
      <c r="C30" s="50" t="e">
        <f>C24+C27</f>
        <v>#VALUE!</v>
      </c>
      <c r="F30" s="275"/>
    </row>
    <row r="31" spans="2:6" ht="15.75" thickTop="1">
      <c r="F31" s="275"/>
    </row>
    <row r="32" spans="2:6" ht="15.75" thickBot="1">
      <c r="F32" s="275"/>
    </row>
    <row r="33" spans="3:3" ht="15.75" thickTop="1">
      <c r="C33" s="51" t="e">
        <f>C30*1.2</f>
        <v>#VALUE!</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07F3CA5-F800-43D1-83B8-FCADDD9BAC80}">
          <x14:formula1>
            <xm:f>'C:\Users\DS56\OneDrive - Ricardo Plc\NE NN\[Copy of Herefordshire Council Phosphate Budget Calculator_Final.xlsx]Stage 2 and 3 lookups'!#REF!</xm:f>
          </x14:formula1>
          <xm:sqref>I8:I10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dimension ref="B1:P310"/>
  <sheetViews>
    <sheetView showGridLines="0" showRowColHeaders="0" zoomScaleNormal="100" workbookViewId="0"/>
  </sheetViews>
  <sheetFormatPr defaultColWidth="9.28515625" defaultRowHeight="15"/>
  <cols>
    <col min="1" max="1" width="9.28515625" style="133"/>
    <col min="2" max="2" width="4.7109375" style="133" customWidth="1"/>
    <col min="3" max="3" width="44.42578125" style="133" bestFit="1" customWidth="1"/>
    <col min="4" max="4" width="31.28515625" style="133" bestFit="1" customWidth="1"/>
    <col min="5" max="5" width="34" style="133" customWidth="1"/>
    <col min="6" max="6" width="31.5703125" style="133" customWidth="1"/>
    <col min="7" max="7" width="41.7109375" style="133" customWidth="1"/>
    <col min="8" max="8" width="64" style="133" bestFit="1" customWidth="1"/>
    <col min="9" max="9" width="53.42578125" style="133" bestFit="1" customWidth="1"/>
    <col min="10" max="10" width="39.7109375" style="133" bestFit="1" customWidth="1"/>
    <col min="11" max="11" width="36.7109375" style="133" customWidth="1"/>
    <col min="12" max="12" width="38.28515625" style="133" bestFit="1" customWidth="1"/>
    <col min="13" max="15" width="28" style="133" customWidth="1"/>
    <col min="16" max="16" width="9" style="133" customWidth="1"/>
    <col min="17" max="16384" width="9.28515625" style="133"/>
  </cols>
  <sheetData>
    <row r="1" spans="2:16" ht="35.25" customHeight="1" thickBot="1"/>
    <row r="2" spans="2:16" ht="15.75" thickTop="1">
      <c r="B2" s="269" t="s">
        <v>135</v>
      </c>
      <c r="C2" s="270"/>
      <c r="D2" s="270"/>
      <c r="E2" s="270"/>
      <c r="F2" s="270"/>
      <c r="G2" s="270"/>
      <c r="H2" s="270"/>
      <c r="I2" s="270"/>
      <c r="J2" s="270"/>
      <c r="K2" s="270"/>
      <c r="L2" s="270"/>
      <c r="M2" s="270"/>
      <c r="N2" s="270"/>
      <c r="O2" s="270"/>
      <c r="P2" s="271"/>
    </row>
    <row r="3" spans="2:16">
      <c r="B3" s="259"/>
      <c r="C3" s="260"/>
      <c r="D3" s="260"/>
      <c r="E3" s="260"/>
      <c r="F3" s="260"/>
      <c r="G3" s="260"/>
      <c r="H3" s="260"/>
      <c r="I3" s="260"/>
      <c r="J3" s="260"/>
      <c r="K3" s="260"/>
      <c r="L3" s="260"/>
      <c r="M3" s="260"/>
      <c r="N3" s="260"/>
      <c r="O3" s="260"/>
      <c r="P3" s="261"/>
    </row>
    <row r="4" spans="2:16">
      <c r="B4" s="259"/>
      <c r="C4" s="260"/>
      <c r="D4" s="260"/>
      <c r="E4" s="260"/>
      <c r="F4" s="260"/>
      <c r="G4" s="260"/>
      <c r="H4" s="260"/>
      <c r="I4" s="260"/>
      <c r="J4" s="260"/>
      <c r="K4" s="260"/>
      <c r="L4" s="260"/>
      <c r="M4" s="260"/>
      <c r="N4" s="260"/>
      <c r="O4" s="260"/>
      <c r="P4" s="261"/>
    </row>
    <row r="5" spans="2:16">
      <c r="B5" s="129"/>
      <c r="C5" s="22"/>
      <c r="D5" s="22"/>
      <c r="E5" s="22"/>
      <c r="F5" s="22"/>
      <c r="G5" s="22"/>
      <c r="H5" s="22"/>
      <c r="I5" s="22"/>
      <c r="J5" s="22"/>
      <c r="K5" s="22"/>
      <c r="L5" s="22"/>
      <c r="M5" s="22"/>
      <c r="N5" s="22"/>
      <c r="O5" s="22"/>
      <c r="P5" s="130"/>
    </row>
    <row r="6" spans="2:16">
      <c r="B6" s="129"/>
      <c r="C6" s="22" t="s">
        <v>136</v>
      </c>
      <c r="D6" s="22"/>
      <c r="E6" s="22"/>
      <c r="F6" s="22"/>
      <c r="G6" s="22"/>
      <c r="H6" s="22"/>
      <c r="I6" s="22"/>
      <c r="J6" s="22"/>
      <c r="K6" s="22"/>
      <c r="L6" s="22"/>
      <c r="M6" s="22"/>
      <c r="N6" s="22"/>
      <c r="O6" s="22"/>
      <c r="P6" s="130"/>
    </row>
    <row r="7" spans="2:16" ht="30.75" thickBot="1">
      <c r="B7" s="129"/>
      <c r="C7" s="33" t="s">
        <v>137</v>
      </c>
      <c r="D7" s="45" t="s">
        <v>138</v>
      </c>
      <c r="E7" s="45" t="s">
        <v>139</v>
      </c>
      <c r="F7" s="45" t="s">
        <v>140</v>
      </c>
      <c r="G7" s="39" t="s">
        <v>141</v>
      </c>
      <c r="H7" s="27"/>
      <c r="I7" s="27"/>
      <c r="J7" s="27"/>
      <c r="K7" s="27"/>
      <c r="L7" s="27"/>
      <c r="M7" s="27"/>
      <c r="N7" s="27"/>
      <c r="O7" s="27"/>
      <c r="P7" s="130"/>
    </row>
    <row r="8" spans="2:16" ht="15.75" thickTop="1">
      <c r="B8" s="129"/>
      <c r="C8" s="189" t="s">
        <v>142</v>
      </c>
      <c r="D8" s="190">
        <v>0.5</v>
      </c>
      <c r="E8" s="191">
        <v>27</v>
      </c>
      <c r="F8" s="190">
        <v>0.5</v>
      </c>
      <c r="G8" s="192">
        <v>27</v>
      </c>
      <c r="H8" s="27"/>
      <c r="I8" s="27"/>
      <c r="J8" s="27"/>
      <c r="K8" s="27"/>
      <c r="L8" s="27"/>
      <c r="M8" s="27"/>
      <c r="N8" s="27"/>
      <c r="O8" s="27"/>
      <c r="P8" s="130"/>
    </row>
    <row r="9" spans="2:16">
      <c r="B9" s="129"/>
      <c r="C9" s="189" t="s">
        <v>143</v>
      </c>
      <c r="D9" s="191">
        <v>8</v>
      </c>
      <c r="E9" s="191">
        <v>27</v>
      </c>
      <c r="F9" s="191">
        <v>8</v>
      </c>
      <c r="G9" s="192">
        <v>27</v>
      </c>
      <c r="H9" s="27"/>
      <c r="I9" s="27"/>
      <c r="J9" s="27"/>
      <c r="K9" s="27"/>
      <c r="L9" s="27"/>
      <c r="M9" s="27"/>
      <c r="N9" s="27"/>
      <c r="O9" s="27"/>
      <c r="P9" s="130"/>
    </row>
    <row r="10" spans="2:16">
      <c r="B10" s="129"/>
      <c r="C10" s="189" t="s">
        <v>144</v>
      </c>
      <c r="D10" s="191">
        <v>2</v>
      </c>
      <c r="E10" s="191">
        <v>27</v>
      </c>
      <c r="F10" s="191">
        <v>2</v>
      </c>
      <c r="G10" s="192">
        <v>27</v>
      </c>
      <c r="H10" s="27"/>
      <c r="I10" s="27"/>
      <c r="J10" s="27"/>
      <c r="K10" s="27"/>
      <c r="L10" s="27"/>
      <c r="M10" s="27"/>
      <c r="N10" s="27"/>
      <c r="O10" s="27"/>
      <c r="P10" s="130"/>
    </row>
    <row r="11" spans="2:16">
      <c r="B11" s="129"/>
      <c r="C11" s="189" t="s">
        <v>145</v>
      </c>
      <c r="D11" s="191">
        <v>1</v>
      </c>
      <c r="E11" s="191">
        <v>27</v>
      </c>
      <c r="F11" s="191">
        <v>0.5</v>
      </c>
      <c r="G11" s="192">
        <v>27</v>
      </c>
      <c r="H11" s="27"/>
      <c r="I11" s="27"/>
      <c r="J11" s="27"/>
      <c r="K11" s="27"/>
      <c r="L11" s="27"/>
      <c r="M11" s="27"/>
      <c r="N11" s="27"/>
      <c r="O11" s="27"/>
      <c r="P11" s="130"/>
    </row>
    <row r="12" spans="2:16">
      <c r="B12" s="129"/>
      <c r="C12" s="189" t="s">
        <v>146</v>
      </c>
      <c r="D12" s="191">
        <v>8</v>
      </c>
      <c r="E12" s="191">
        <v>27</v>
      </c>
      <c r="F12" s="191">
        <v>8</v>
      </c>
      <c r="G12" s="192">
        <v>27</v>
      </c>
      <c r="H12" s="27"/>
      <c r="I12" s="27"/>
      <c r="J12" s="27"/>
      <c r="K12" s="27"/>
      <c r="L12" s="27"/>
      <c r="M12" s="27"/>
      <c r="N12" s="27"/>
      <c r="O12" s="27"/>
      <c r="P12" s="130"/>
    </row>
    <row r="13" spans="2:16">
      <c r="B13" s="129"/>
      <c r="C13" s="189" t="s">
        <v>147</v>
      </c>
      <c r="D13" s="191">
        <v>8</v>
      </c>
      <c r="E13" s="191">
        <v>27</v>
      </c>
      <c r="F13" s="191">
        <v>8</v>
      </c>
      <c r="G13" s="192">
        <v>27</v>
      </c>
      <c r="H13" s="27"/>
      <c r="I13" s="27"/>
      <c r="J13" s="27"/>
      <c r="K13" s="27"/>
      <c r="L13" s="27"/>
      <c r="M13" s="27"/>
      <c r="N13" s="27"/>
      <c r="O13" s="27"/>
      <c r="P13" s="130"/>
    </row>
    <row r="14" spans="2:16">
      <c r="B14" s="129"/>
      <c r="C14" s="189" t="s">
        <v>148</v>
      </c>
      <c r="D14" s="191">
        <v>2</v>
      </c>
      <c r="E14" s="191">
        <v>27</v>
      </c>
      <c r="F14" s="191">
        <v>0.25</v>
      </c>
      <c r="G14" s="192">
        <v>27</v>
      </c>
      <c r="H14" s="27"/>
      <c r="I14" s="27"/>
      <c r="J14" s="27"/>
      <c r="K14" s="27"/>
      <c r="L14" s="27"/>
      <c r="M14" s="27"/>
      <c r="N14" s="27"/>
      <c r="O14" s="27"/>
      <c r="P14" s="130"/>
    </row>
    <row r="15" spans="2:16">
      <c r="B15" s="129"/>
      <c r="C15" s="189" t="s">
        <v>149</v>
      </c>
      <c r="D15" s="191">
        <v>8</v>
      </c>
      <c r="E15" s="191">
        <v>27</v>
      </c>
      <c r="F15" s="191">
        <v>8</v>
      </c>
      <c r="G15" s="192">
        <v>27</v>
      </c>
      <c r="H15" s="27"/>
      <c r="I15" s="27"/>
      <c r="J15" s="27"/>
      <c r="K15" s="27"/>
      <c r="L15" s="27"/>
      <c r="M15" s="27"/>
      <c r="N15" s="27"/>
      <c r="O15" s="27"/>
      <c r="P15" s="130"/>
    </row>
    <row r="16" spans="2:16">
      <c r="B16" s="129"/>
      <c r="C16" s="189" t="s">
        <v>150</v>
      </c>
      <c r="D16" s="191">
        <v>2</v>
      </c>
      <c r="E16" s="191">
        <v>27</v>
      </c>
      <c r="F16" s="191">
        <v>0.3</v>
      </c>
      <c r="G16" s="192">
        <v>27</v>
      </c>
      <c r="H16" s="27"/>
      <c r="I16" s="27"/>
      <c r="J16" s="27"/>
      <c r="K16" s="27"/>
      <c r="L16" s="27"/>
      <c r="M16" s="27"/>
      <c r="N16" s="27"/>
      <c r="O16" s="27"/>
      <c r="P16" s="130"/>
    </row>
    <row r="17" spans="2:16">
      <c r="B17" s="129"/>
      <c r="C17" s="189" t="s">
        <v>151</v>
      </c>
      <c r="D17" s="191">
        <v>1</v>
      </c>
      <c r="E17" s="191">
        <v>27</v>
      </c>
      <c r="F17" s="191">
        <v>0.5</v>
      </c>
      <c r="G17" s="192">
        <v>27</v>
      </c>
      <c r="H17" s="27"/>
      <c r="I17" s="27"/>
      <c r="J17" s="27"/>
      <c r="K17" s="27"/>
      <c r="L17" s="27"/>
      <c r="M17" s="27"/>
      <c r="N17" s="27"/>
      <c r="O17" s="27"/>
      <c r="P17" s="130"/>
    </row>
    <row r="18" spans="2:16">
      <c r="B18" s="129"/>
      <c r="C18" s="189" t="s">
        <v>152</v>
      </c>
      <c r="D18" s="191">
        <v>8</v>
      </c>
      <c r="E18" s="191">
        <v>27</v>
      </c>
      <c r="F18" s="191">
        <v>1</v>
      </c>
      <c r="G18" s="192">
        <v>27</v>
      </c>
      <c r="H18" s="27"/>
      <c r="I18" s="27"/>
      <c r="J18" s="27"/>
      <c r="K18" s="27"/>
      <c r="L18" s="27"/>
      <c r="M18" s="27"/>
      <c r="N18" s="27"/>
      <c r="O18" s="27"/>
      <c r="P18" s="130"/>
    </row>
    <row r="19" spans="2:16">
      <c r="B19" s="129"/>
      <c r="C19" s="189" t="s">
        <v>153</v>
      </c>
      <c r="D19" s="191">
        <v>1</v>
      </c>
      <c r="E19" s="191">
        <v>27</v>
      </c>
      <c r="F19" s="191">
        <v>0.5</v>
      </c>
      <c r="G19" s="192">
        <v>27</v>
      </c>
      <c r="H19" s="27"/>
      <c r="I19" s="27"/>
      <c r="J19" s="27"/>
      <c r="K19" s="27"/>
      <c r="L19" s="27"/>
      <c r="M19" s="27"/>
      <c r="N19" s="27"/>
      <c r="O19" s="27"/>
      <c r="P19" s="130"/>
    </row>
    <row r="20" spans="2:16">
      <c r="B20" s="129"/>
      <c r="C20" s="189" t="s">
        <v>154</v>
      </c>
      <c r="D20" s="191">
        <v>8</v>
      </c>
      <c r="E20" s="191">
        <v>27</v>
      </c>
      <c r="F20" s="191">
        <v>8</v>
      </c>
      <c r="G20" s="192">
        <v>27</v>
      </c>
      <c r="H20" s="27"/>
      <c r="I20" s="27"/>
      <c r="J20" s="27"/>
      <c r="K20" s="27"/>
      <c r="L20" s="27"/>
      <c r="M20" s="27"/>
      <c r="N20" s="27"/>
      <c r="O20" s="27"/>
      <c r="P20" s="130"/>
    </row>
    <row r="21" spans="2:16">
      <c r="B21" s="129"/>
      <c r="C21" s="189" t="s">
        <v>155</v>
      </c>
      <c r="D21" s="191">
        <v>8</v>
      </c>
      <c r="E21" s="191">
        <v>27</v>
      </c>
      <c r="F21" s="191">
        <v>8</v>
      </c>
      <c r="G21" s="192">
        <v>27</v>
      </c>
      <c r="H21" s="27"/>
      <c r="I21" s="27"/>
      <c r="J21" s="27"/>
      <c r="K21" s="27"/>
      <c r="L21" s="27"/>
      <c r="M21" s="27"/>
      <c r="N21" s="27"/>
      <c r="O21" s="27"/>
      <c r="P21" s="130"/>
    </row>
    <row r="22" spans="2:16">
      <c r="B22" s="129"/>
      <c r="C22" s="189" t="s">
        <v>156</v>
      </c>
      <c r="D22" s="191">
        <v>8</v>
      </c>
      <c r="E22" s="191">
        <v>27</v>
      </c>
      <c r="F22" s="191">
        <v>8</v>
      </c>
      <c r="G22" s="192">
        <v>27</v>
      </c>
      <c r="H22" s="27"/>
      <c r="I22" s="27"/>
      <c r="J22" s="27"/>
      <c r="K22" s="27"/>
      <c r="L22" s="27"/>
      <c r="M22" s="27"/>
      <c r="N22" s="27"/>
      <c r="O22" s="27"/>
      <c r="P22" s="130"/>
    </row>
    <row r="23" spans="2:16">
      <c r="B23" s="129"/>
      <c r="C23" s="178" t="s">
        <v>157</v>
      </c>
      <c r="D23" s="43">
        <v>9.6999999999999993</v>
      </c>
      <c r="E23" s="43">
        <v>72.900000000000006</v>
      </c>
      <c r="F23" s="43">
        <v>9.6999999999999993</v>
      </c>
      <c r="G23" s="40">
        <v>72.900000000000006</v>
      </c>
      <c r="H23" s="27"/>
      <c r="I23" s="27"/>
      <c r="J23" s="27"/>
      <c r="K23" s="27"/>
      <c r="L23" s="27"/>
      <c r="M23" s="27"/>
      <c r="N23" s="27"/>
      <c r="O23" s="27"/>
      <c r="P23" s="130"/>
    </row>
    <row r="24" spans="2:16">
      <c r="B24" s="129"/>
      <c r="C24" s="178" t="s">
        <v>158</v>
      </c>
      <c r="D24" s="43">
        <v>11.6</v>
      </c>
      <c r="E24" s="43">
        <v>96.3</v>
      </c>
      <c r="F24" s="43">
        <v>11.6</v>
      </c>
      <c r="G24" s="40">
        <v>96.3</v>
      </c>
      <c r="H24" s="27"/>
      <c r="I24" s="27"/>
      <c r="J24" s="27"/>
      <c r="K24" s="27"/>
      <c r="L24" s="27"/>
      <c r="M24" s="27"/>
      <c r="N24" s="27"/>
      <c r="O24" s="27"/>
      <c r="P24" s="130"/>
    </row>
    <row r="25" spans="2:16">
      <c r="B25" s="129"/>
      <c r="C25" s="178" t="s">
        <v>159</v>
      </c>
      <c r="D25" s="43"/>
      <c r="E25" s="43"/>
      <c r="F25" s="43"/>
      <c r="G25" s="37"/>
      <c r="H25" s="27"/>
      <c r="I25" s="27"/>
      <c r="J25" s="27"/>
      <c r="K25" s="27"/>
      <c r="L25" s="27"/>
      <c r="M25" s="27"/>
      <c r="N25" s="27"/>
      <c r="O25" s="27"/>
      <c r="P25" s="130"/>
    </row>
    <row r="26" spans="2:16">
      <c r="B26" s="129"/>
      <c r="C26" s="178" t="s">
        <v>160</v>
      </c>
      <c r="D26" s="43"/>
      <c r="E26" s="43"/>
      <c r="F26" s="43"/>
      <c r="G26" s="37"/>
      <c r="H26" s="27"/>
      <c r="I26" s="27"/>
      <c r="J26" s="27"/>
      <c r="K26" s="27"/>
      <c r="L26" s="27"/>
      <c r="M26" s="27"/>
      <c r="N26" s="27"/>
      <c r="O26" s="27"/>
      <c r="P26" s="130"/>
    </row>
    <row r="27" spans="2:16">
      <c r="B27" s="129"/>
      <c r="C27" s="27"/>
      <c r="D27" s="27"/>
      <c r="E27" s="27"/>
      <c r="F27" s="27"/>
      <c r="G27" s="27"/>
      <c r="H27" s="27"/>
      <c r="I27" s="27"/>
      <c r="J27" s="27"/>
      <c r="K27" s="27"/>
      <c r="L27" s="27"/>
      <c r="M27" s="27"/>
      <c r="N27" s="27"/>
      <c r="O27" s="27"/>
      <c r="P27" s="130"/>
    </row>
    <row r="28" spans="2:16">
      <c r="B28" s="129"/>
      <c r="C28" s="27" t="s">
        <v>161</v>
      </c>
      <c r="D28" s="27"/>
      <c r="E28" s="27"/>
      <c r="F28" s="27"/>
      <c r="G28" s="27"/>
      <c r="H28" s="27"/>
      <c r="I28" s="27"/>
      <c r="J28" s="27"/>
      <c r="K28" s="27"/>
      <c r="L28" s="27"/>
      <c r="M28" s="27"/>
      <c r="N28" s="27"/>
      <c r="O28" s="27"/>
      <c r="P28" s="130"/>
    </row>
    <row r="29" spans="2:16" ht="45.75" thickBot="1">
      <c r="B29" s="129"/>
      <c r="C29" s="33" t="s">
        <v>162</v>
      </c>
      <c r="D29" s="33" t="s">
        <v>163</v>
      </c>
      <c r="E29" s="33" t="s">
        <v>164</v>
      </c>
      <c r="F29" s="33" t="s">
        <v>165</v>
      </c>
      <c r="G29" s="33" t="s">
        <v>166</v>
      </c>
      <c r="H29" s="33" t="s">
        <v>167</v>
      </c>
      <c r="I29" s="33" t="s">
        <v>168</v>
      </c>
      <c r="J29" s="45" t="s">
        <v>169</v>
      </c>
      <c r="K29" s="33" t="s">
        <v>170</v>
      </c>
      <c r="L29" s="39" t="s">
        <v>171</v>
      </c>
      <c r="M29" s="45" t="s">
        <v>172</v>
      </c>
      <c r="N29" s="33" t="s">
        <v>173</v>
      </c>
      <c r="O29" s="127" t="s">
        <v>174</v>
      </c>
      <c r="P29" s="130"/>
    </row>
    <row r="30" spans="2:16" ht="15.75" thickTop="1">
      <c r="B30" s="129"/>
      <c r="C30" s="46" t="s">
        <v>175</v>
      </c>
      <c r="D30" s="46" t="s">
        <v>176</v>
      </c>
      <c r="E30" s="46" t="b">
        <v>1</v>
      </c>
      <c r="F30" s="185" t="s">
        <v>177</v>
      </c>
      <c r="G30" s="46" t="s">
        <v>178</v>
      </c>
      <c r="H30" s="43" t="str">
        <f t="shared" ref="H30:H94" si="0">C30&amp;"|"&amp;D30&amp;"|"&amp;E30&amp;"|"&amp;F30&amp;"|"&amp;G30</f>
        <v>Upper Stour|Cereals|TRUE|700to900|FreeDrain</v>
      </c>
      <c r="I30" s="125">
        <v>0.16522791651029881</v>
      </c>
      <c r="J30" s="47">
        <v>31.180395967701898</v>
      </c>
      <c r="K30" s="34" t="str">
        <f>D30&amp;"|"&amp;F30</f>
        <v>Cereals|700to900</v>
      </c>
      <c r="L30" s="44">
        <f>AVERAGE(I30:I32)</f>
        <v>0.59228689467347861</v>
      </c>
      <c r="M30" s="44">
        <f>AVERAGE(J30:J32)</f>
        <v>25.601686514727977</v>
      </c>
      <c r="N30" s="47">
        <f>AVERAGE(I30:I32,I50:I54,I77:I83,I117:I126)</f>
        <v>0.41616397725365323</v>
      </c>
      <c r="O30" s="187">
        <f>AVERAGE(J30:J32,J50:J54,J77:J83,J117:J126)</f>
        <v>24.417435435238104</v>
      </c>
      <c r="P30" s="130"/>
    </row>
    <row r="31" spans="2:16">
      <c r="B31" s="129"/>
      <c r="C31" s="46" t="s">
        <v>175</v>
      </c>
      <c r="D31" s="46" t="s">
        <v>176</v>
      </c>
      <c r="E31" s="46" t="b">
        <v>1</v>
      </c>
      <c r="F31" s="185" t="s">
        <v>177</v>
      </c>
      <c r="G31" s="46" t="s">
        <v>179</v>
      </c>
      <c r="H31" s="43" t="str">
        <f t="shared" si="0"/>
        <v>Upper Stour|Cereals|TRUE|700to900|DrainedAr</v>
      </c>
      <c r="I31" s="125">
        <v>0.68208678137307155</v>
      </c>
      <c r="J31" s="47">
        <v>23.616063119455109</v>
      </c>
      <c r="K31" s="34" t="str">
        <f t="shared" ref="K31:K116" si="1">D31&amp;"|"&amp;F31</f>
        <v>Cereals|700to900</v>
      </c>
      <c r="L31" s="44"/>
      <c r="M31" s="44"/>
      <c r="N31" s="47"/>
      <c r="O31" s="44"/>
      <c r="P31" s="130"/>
    </row>
    <row r="32" spans="2:16">
      <c r="B32" s="129"/>
      <c r="C32" s="46" t="s">
        <v>175</v>
      </c>
      <c r="D32" s="46" t="s">
        <v>176</v>
      </c>
      <c r="E32" s="46" t="b">
        <v>1</v>
      </c>
      <c r="F32" s="185" t="s">
        <v>177</v>
      </c>
      <c r="G32" s="46" t="s">
        <v>180</v>
      </c>
      <c r="H32" s="43" t="str">
        <f t="shared" si="0"/>
        <v>Upper Stour|Cereals|TRUE|700to900|DrainedArGr</v>
      </c>
      <c r="I32" s="125">
        <v>0.92954598613706563</v>
      </c>
      <c r="J32" s="47">
        <v>22.008600457026933</v>
      </c>
      <c r="K32" s="34" t="str">
        <f t="shared" si="1"/>
        <v>Cereals|700to900</v>
      </c>
      <c r="L32" s="44"/>
      <c r="M32" s="44"/>
      <c r="N32" s="47"/>
      <c r="O32" s="44"/>
      <c r="P32" s="130"/>
    </row>
    <row r="33" spans="2:16">
      <c r="B33" s="129"/>
      <c r="C33" s="46" t="s">
        <v>175</v>
      </c>
      <c r="D33" s="46" t="s">
        <v>181</v>
      </c>
      <c r="E33" s="46" t="b">
        <v>1</v>
      </c>
      <c r="F33" s="185" t="s">
        <v>177</v>
      </c>
      <c r="G33" s="46" t="s">
        <v>178</v>
      </c>
      <c r="H33" s="43" t="str">
        <f t="shared" si="0"/>
        <v>Upper Stour|General|TRUE|700to900|FreeDrain</v>
      </c>
      <c r="I33" s="125">
        <v>0.12894800956410588</v>
      </c>
      <c r="J33" s="47">
        <v>21.64067739273003</v>
      </c>
      <c r="K33" s="34" t="str">
        <f t="shared" si="1"/>
        <v>General|700to900</v>
      </c>
      <c r="L33" s="44">
        <f>AVERAGE(I33:I35)</f>
        <v>0.44145260182317864</v>
      </c>
      <c r="M33" s="44">
        <f>AVERAGE(J33:J35)</f>
        <v>17.574173252785908</v>
      </c>
      <c r="N33" s="47">
        <f>AVERAGE(I33:I35,I55:I62,I84:I89,I127:I132)</f>
        <v>0.26891526205705735</v>
      </c>
      <c r="O33" s="44">
        <f>AVERAGE(J33:J35,J55:J62,J84:J89,J127:J132)</f>
        <v>19.897337872458642</v>
      </c>
      <c r="P33" s="130"/>
    </row>
    <row r="34" spans="2:16">
      <c r="B34" s="129"/>
      <c r="C34" s="46" t="s">
        <v>175</v>
      </c>
      <c r="D34" s="46" t="s">
        <v>181</v>
      </c>
      <c r="E34" s="46" t="b">
        <v>1</v>
      </c>
      <c r="F34" s="185" t="s">
        <v>177</v>
      </c>
      <c r="G34" s="46" t="s">
        <v>179</v>
      </c>
      <c r="H34" s="43" t="str">
        <f t="shared" si="0"/>
        <v>Upper Stour|General|TRUE|700to900|DrainedAr</v>
      </c>
      <c r="I34" s="125">
        <v>0.47588401229450739</v>
      </c>
      <c r="J34" s="47">
        <v>16.248732002860933</v>
      </c>
      <c r="K34" s="34" t="str">
        <f t="shared" si="1"/>
        <v>General|700to900</v>
      </c>
      <c r="L34" s="44"/>
      <c r="M34" s="44"/>
      <c r="N34" s="47"/>
      <c r="O34" s="44"/>
      <c r="P34" s="130"/>
    </row>
    <row r="35" spans="2:16">
      <c r="B35" s="129"/>
      <c r="C35" s="46" t="s">
        <v>175</v>
      </c>
      <c r="D35" s="46" t="s">
        <v>181</v>
      </c>
      <c r="E35" s="46" t="b">
        <v>1</v>
      </c>
      <c r="F35" s="185" t="s">
        <v>177</v>
      </c>
      <c r="G35" s="46" t="s">
        <v>180</v>
      </c>
      <c r="H35" s="43" t="str">
        <f t="shared" si="0"/>
        <v>Upper Stour|General|TRUE|700to900|DrainedArGr</v>
      </c>
      <c r="I35" s="125">
        <v>0.71952578361092279</v>
      </c>
      <c r="J35" s="47">
        <v>14.833110362766769</v>
      </c>
      <c r="K35" s="34" t="str">
        <f t="shared" si="1"/>
        <v>General|700to900</v>
      </c>
      <c r="L35" s="44"/>
      <c r="M35" s="44"/>
      <c r="N35" s="47"/>
      <c r="O35" s="44"/>
      <c r="P35" s="130"/>
    </row>
    <row r="36" spans="2:16">
      <c r="B36" s="129"/>
      <c r="C36" s="46" t="s">
        <v>175</v>
      </c>
      <c r="D36" s="46" t="s">
        <v>182</v>
      </c>
      <c r="E36" s="46" t="b">
        <v>1</v>
      </c>
      <c r="F36" s="185" t="s">
        <v>177</v>
      </c>
      <c r="G36" s="46" t="s">
        <v>178</v>
      </c>
      <c r="H36" s="43" t="str">
        <f t="shared" si="0"/>
        <v>Upper Stour|Horticulture|TRUE|700to900|FreeDrain</v>
      </c>
      <c r="I36" s="125">
        <v>0.11710769944570457</v>
      </c>
      <c r="J36" s="47">
        <v>19.06220083582248</v>
      </c>
      <c r="K36" s="34" t="str">
        <f t="shared" si="1"/>
        <v>Horticulture|700to900</v>
      </c>
      <c r="L36" s="44">
        <f>AVERAGE(I36:I38)</f>
        <v>0.41534605672742231</v>
      </c>
      <c r="M36" s="44">
        <f>AVERAGE(J36:J38)</f>
        <v>15.298585675237783</v>
      </c>
      <c r="N36" s="47">
        <f>AVERAGE(I36:I38,I63:I66,I90:I96,I133:I136)</f>
        <v>0.1989429294546384</v>
      </c>
      <c r="O36" s="44">
        <f>AVERAGE(J36:J38,J63:J66,J90:J96,J133:J136)</f>
        <v>12.567359875576157</v>
      </c>
      <c r="P36" s="130"/>
    </row>
    <row r="37" spans="2:16">
      <c r="B37" s="129"/>
      <c r="C37" s="46" t="s">
        <v>175</v>
      </c>
      <c r="D37" s="46" t="s">
        <v>182</v>
      </c>
      <c r="E37" s="46" t="b">
        <v>1</v>
      </c>
      <c r="F37" s="185" t="s">
        <v>177</v>
      </c>
      <c r="G37" s="46" t="s">
        <v>179</v>
      </c>
      <c r="H37" s="43" t="str">
        <f t="shared" si="0"/>
        <v>Upper Stour|Horticulture|TRUE|700to900|DrainedAr</v>
      </c>
      <c r="I37" s="125">
        <v>0.46062917483074628</v>
      </c>
      <c r="J37" s="47">
        <v>14.087021906623111</v>
      </c>
      <c r="K37" s="34" t="str">
        <f t="shared" si="1"/>
        <v>Horticulture|700to900</v>
      </c>
      <c r="L37" s="44"/>
      <c r="M37" s="44"/>
      <c r="N37" s="47"/>
      <c r="O37" s="44"/>
      <c r="P37" s="130"/>
    </row>
    <row r="38" spans="2:16">
      <c r="B38" s="129"/>
      <c r="C38" s="46" t="s">
        <v>175</v>
      </c>
      <c r="D38" s="46" t="s">
        <v>182</v>
      </c>
      <c r="E38" s="46" t="b">
        <v>0</v>
      </c>
      <c r="F38" s="185" t="s">
        <v>177</v>
      </c>
      <c r="G38" s="46" t="s">
        <v>180</v>
      </c>
      <c r="H38" s="43" t="str">
        <f t="shared" si="0"/>
        <v>Upper Stour|Horticulture|FALSE|700to900|DrainedArGr</v>
      </c>
      <c r="I38" s="125">
        <v>0.66830129590581611</v>
      </c>
      <c r="J38" s="47">
        <v>12.746534283267765</v>
      </c>
      <c r="K38" s="34" t="str">
        <f t="shared" si="1"/>
        <v>Horticulture|700to900</v>
      </c>
      <c r="L38" s="44"/>
      <c r="M38" s="44"/>
      <c r="N38" s="47"/>
      <c r="O38" s="44"/>
      <c r="P38" s="130"/>
    </row>
    <row r="39" spans="2:16">
      <c r="B39" s="129"/>
      <c r="C39" s="46" t="s">
        <v>175</v>
      </c>
      <c r="D39" s="46" t="s">
        <v>183</v>
      </c>
      <c r="E39" s="46" t="b">
        <v>1</v>
      </c>
      <c r="F39" s="185" t="s">
        <v>177</v>
      </c>
      <c r="G39" s="46" t="s">
        <v>178</v>
      </c>
      <c r="H39" s="43" t="str">
        <f t="shared" si="0"/>
        <v>Upper Stour|Poultry|TRUE|700to900|FreeDrain</v>
      </c>
      <c r="I39" s="125">
        <v>0.16691799283911146</v>
      </c>
      <c r="J39" s="47">
        <v>64.126383817822983</v>
      </c>
      <c r="K39" s="34" t="str">
        <f t="shared" si="1"/>
        <v>Poultry|700to900</v>
      </c>
      <c r="L39" s="44">
        <f>AVERAGE(I39:I41)</f>
        <v>0.47428109946544428</v>
      </c>
      <c r="M39" s="44">
        <f>AVERAGE(J39:J41)</f>
        <v>47.609925646158445</v>
      </c>
      <c r="N39" s="47">
        <f>AVERAGE(I39:I41,I113:I116)</f>
        <v>0.36906574326388092</v>
      </c>
      <c r="O39" s="44">
        <f>AVERAGE(J39:J41,J113:J116)</f>
        <v>51.510106020111799</v>
      </c>
      <c r="P39" s="130"/>
    </row>
    <row r="40" spans="2:16">
      <c r="B40" s="129"/>
      <c r="C40" s="46" t="s">
        <v>175</v>
      </c>
      <c r="D40" s="46" t="s">
        <v>183</v>
      </c>
      <c r="E40" s="46" t="b">
        <v>1</v>
      </c>
      <c r="F40" s="185" t="s">
        <v>177</v>
      </c>
      <c r="G40" s="46" t="s">
        <v>179</v>
      </c>
      <c r="H40" s="43" t="str">
        <f t="shared" si="0"/>
        <v>Upper Stour|Poultry|TRUE|700to900|DrainedAr</v>
      </c>
      <c r="I40" s="125">
        <v>0.49379180243042414</v>
      </c>
      <c r="J40" s="47">
        <v>43.218271151681471</v>
      </c>
      <c r="K40" s="34" t="str">
        <f t="shared" si="1"/>
        <v>Poultry|700to900</v>
      </c>
      <c r="L40" s="44"/>
      <c r="M40" s="44"/>
      <c r="N40" s="47"/>
      <c r="O40" s="44"/>
      <c r="P40" s="130"/>
    </row>
    <row r="41" spans="2:16">
      <c r="B41" s="129"/>
      <c r="C41" s="46" t="s">
        <v>175</v>
      </c>
      <c r="D41" s="46" t="s">
        <v>183</v>
      </c>
      <c r="E41" s="46" t="b">
        <v>1</v>
      </c>
      <c r="F41" s="185" t="s">
        <v>177</v>
      </c>
      <c r="G41" s="46" t="s">
        <v>180</v>
      </c>
      <c r="H41" s="43" t="str">
        <f t="shared" si="0"/>
        <v>Upper Stour|Poultry|TRUE|700to900|DrainedArGr</v>
      </c>
      <c r="I41" s="125">
        <v>0.76213350312679728</v>
      </c>
      <c r="J41" s="47">
        <v>35.485121968970887</v>
      </c>
      <c r="K41" s="34" t="str">
        <f t="shared" si="1"/>
        <v>Poultry|700to900</v>
      </c>
      <c r="L41" s="44"/>
      <c r="M41" s="44"/>
      <c r="N41" s="47"/>
      <c r="O41" s="44"/>
      <c r="P41" s="130"/>
    </row>
    <row r="42" spans="2:16">
      <c r="B42" s="129"/>
      <c r="C42" s="46" t="s">
        <v>175</v>
      </c>
      <c r="D42" s="46" t="s">
        <v>184</v>
      </c>
      <c r="E42" s="46" t="b">
        <v>1</v>
      </c>
      <c r="F42" s="185" t="s">
        <v>177</v>
      </c>
      <c r="G42" s="46" t="s">
        <v>178</v>
      </c>
      <c r="H42" s="43" t="str">
        <f t="shared" si="0"/>
        <v>Upper Stour|Lowland|TRUE|700to900|FreeDrain</v>
      </c>
      <c r="I42" s="125">
        <v>0.11217265085013295</v>
      </c>
      <c r="J42" s="47">
        <v>14.276181415143059</v>
      </c>
      <c r="K42" s="34" t="str">
        <f t="shared" si="1"/>
        <v>Lowland|700to900</v>
      </c>
      <c r="L42" s="44">
        <f>AVERAGE(I42:I44)</f>
        <v>0.32597996472779783</v>
      </c>
      <c r="M42" s="44">
        <f>AVERAGE(J42:J44)</f>
        <v>11.639486848937045</v>
      </c>
      <c r="N42" s="47">
        <f>AVERAGE(I42:I45,I67:I72,I97:I107,I137:I139)</f>
        <v>0.1948567984107091</v>
      </c>
      <c r="O42" s="44">
        <f>AVERAGE(J42:J45,J67:J72,J97:J107,J137:J139)</f>
        <v>11.924758923562123</v>
      </c>
      <c r="P42" s="130"/>
    </row>
    <row r="43" spans="2:16">
      <c r="B43" s="129"/>
      <c r="C43" s="46" t="s">
        <v>175</v>
      </c>
      <c r="D43" s="46" t="s">
        <v>184</v>
      </c>
      <c r="E43" s="46" t="b">
        <v>1</v>
      </c>
      <c r="F43" s="185" t="s">
        <v>177</v>
      </c>
      <c r="G43" s="46" t="s">
        <v>179</v>
      </c>
      <c r="H43" s="43" t="str">
        <f t="shared" si="0"/>
        <v>Upper Stour|Lowland|TRUE|700to900|DrainedAr</v>
      </c>
      <c r="I43" s="125">
        <v>0.1858558836925327</v>
      </c>
      <c r="J43" s="47">
        <v>11.168108445276443</v>
      </c>
      <c r="K43" s="34" t="str">
        <f t="shared" si="1"/>
        <v>Lowland|700to900</v>
      </c>
      <c r="L43" s="44"/>
      <c r="M43" s="44"/>
      <c r="N43" s="47"/>
      <c r="O43" s="44"/>
      <c r="P43" s="130"/>
    </row>
    <row r="44" spans="2:16">
      <c r="B44" s="129"/>
      <c r="C44" s="46" t="s">
        <v>175</v>
      </c>
      <c r="D44" s="46" t="s">
        <v>184</v>
      </c>
      <c r="E44" s="46" t="b">
        <v>0</v>
      </c>
      <c r="F44" s="185" t="s">
        <v>177</v>
      </c>
      <c r="G44" s="46" t="s">
        <v>180</v>
      </c>
      <c r="H44" s="43" t="str">
        <f t="shared" si="0"/>
        <v>Upper Stour|Lowland|FALSE|700to900|DrainedArGr</v>
      </c>
      <c r="I44" s="125">
        <v>0.6799113596407278</v>
      </c>
      <c r="J44" s="47">
        <v>9.4741706863916288</v>
      </c>
      <c r="K44" s="34" t="str">
        <f t="shared" si="1"/>
        <v>Lowland|700to900</v>
      </c>
      <c r="L44" s="44"/>
      <c r="M44" s="44"/>
      <c r="N44" s="47"/>
      <c r="O44" s="44"/>
      <c r="P44" s="130"/>
    </row>
    <row r="45" spans="2:16">
      <c r="B45" s="129"/>
      <c r="C45" s="46" t="s">
        <v>175</v>
      </c>
      <c r="D45" s="46" t="s">
        <v>184</v>
      </c>
      <c r="E45" s="46" t="b">
        <v>1</v>
      </c>
      <c r="F45" s="185" t="s">
        <v>177</v>
      </c>
      <c r="G45" s="46" t="s">
        <v>180</v>
      </c>
      <c r="H45" s="43" t="str">
        <f t="shared" si="0"/>
        <v>Upper Stour|Lowland|TRUE|700to900|DrainedArGr</v>
      </c>
      <c r="I45" s="125">
        <v>0.67990041796954714</v>
      </c>
      <c r="J45" s="47">
        <v>9.4625679850779782</v>
      </c>
      <c r="K45" s="34" t="str">
        <f t="shared" si="1"/>
        <v>Lowland|700to900</v>
      </c>
      <c r="L45" s="44"/>
      <c r="M45" s="44"/>
      <c r="N45" s="47"/>
      <c r="O45" s="44"/>
      <c r="P45" s="130"/>
    </row>
    <row r="46" spans="2:16">
      <c r="B46" s="129"/>
      <c r="C46" s="46" t="s">
        <v>175</v>
      </c>
      <c r="D46" s="46" t="s">
        <v>185</v>
      </c>
      <c r="E46" s="46" t="b">
        <v>1</v>
      </c>
      <c r="F46" s="185" t="s">
        <v>177</v>
      </c>
      <c r="G46" s="46" t="s">
        <v>178</v>
      </c>
      <c r="H46" s="43" t="str">
        <f t="shared" si="0"/>
        <v>Upper Stour|Mixed|TRUE|700to900|FreeDrain</v>
      </c>
      <c r="I46" s="125">
        <v>0.22860005115552318</v>
      </c>
      <c r="J46" s="47">
        <v>49.21526165412115</v>
      </c>
      <c r="K46" s="34" t="str">
        <f t="shared" si="1"/>
        <v>Mixed|700to900</v>
      </c>
      <c r="L46" s="44">
        <f>AVERAGE(I46:I47,I49)</f>
        <v>0.66966680938349255</v>
      </c>
      <c r="M46" s="44">
        <f>AVERAGE(J46:J47,J49)</f>
        <v>37.384671287662421</v>
      </c>
      <c r="N46" s="47">
        <f>AVERAGE(I46:I49,I73:I76,I108:I112,I140:I142)</f>
        <v>0.40611566694892587</v>
      </c>
      <c r="O46" s="44">
        <f>AVERAGE(J46:J49,J73:J76,J108:J112,J140:J142)</f>
        <v>26.964013193577422</v>
      </c>
      <c r="P46" s="130"/>
    </row>
    <row r="47" spans="2:16">
      <c r="B47" s="129"/>
      <c r="C47" s="46" t="s">
        <v>175</v>
      </c>
      <c r="D47" s="46" t="s">
        <v>185</v>
      </c>
      <c r="E47" s="46" t="b">
        <v>1</v>
      </c>
      <c r="F47" s="185" t="s">
        <v>177</v>
      </c>
      <c r="G47" s="46" t="s">
        <v>179</v>
      </c>
      <c r="H47" s="43" t="str">
        <f t="shared" si="0"/>
        <v>Upper Stour|Mixed|TRUE|700to900|DrainedAr</v>
      </c>
      <c r="I47" s="125">
        <v>0.58788750033087012</v>
      </c>
      <c r="J47" s="47">
        <v>37.059885270368675</v>
      </c>
      <c r="K47" s="34" t="str">
        <f t="shared" si="1"/>
        <v>Mixed|700to900</v>
      </c>
      <c r="L47" s="44"/>
      <c r="M47" s="44"/>
      <c r="N47" s="47"/>
      <c r="O47" s="35"/>
      <c r="P47" s="130"/>
    </row>
    <row r="48" spans="2:16">
      <c r="B48" s="129"/>
      <c r="C48" s="46" t="s">
        <v>175</v>
      </c>
      <c r="D48" s="46" t="s">
        <v>185</v>
      </c>
      <c r="E48" s="46" t="b">
        <v>0</v>
      </c>
      <c r="F48" s="185" t="s">
        <v>177</v>
      </c>
      <c r="G48" s="46" t="s">
        <v>180</v>
      </c>
      <c r="H48" s="43" t="str">
        <f t="shared" si="0"/>
        <v>Upper Stour|Mixed|FALSE|700to900|DrainedArGr</v>
      </c>
      <c r="I48" s="125">
        <v>1.2029680319728047</v>
      </c>
      <c r="J48" s="47">
        <v>26.229309617372625</v>
      </c>
      <c r="K48" s="34" t="str">
        <f t="shared" si="1"/>
        <v>Mixed|700to900</v>
      </c>
      <c r="L48" s="44"/>
      <c r="M48" s="44"/>
      <c r="N48" s="47"/>
      <c r="O48" s="35"/>
      <c r="P48" s="130"/>
    </row>
    <row r="49" spans="2:16">
      <c r="B49" s="129"/>
      <c r="C49" s="46" t="s">
        <v>175</v>
      </c>
      <c r="D49" s="46" t="s">
        <v>185</v>
      </c>
      <c r="E49" s="46" t="b">
        <v>1</v>
      </c>
      <c r="F49" s="185" t="s">
        <v>177</v>
      </c>
      <c r="G49" s="46" t="s">
        <v>180</v>
      </c>
      <c r="H49" s="43" t="str">
        <f t="shared" si="0"/>
        <v>Upper Stour|Mixed|TRUE|700to900|DrainedArGr</v>
      </c>
      <c r="I49" s="125">
        <v>1.1925128766640842</v>
      </c>
      <c r="J49" s="47">
        <v>25.878866938497438</v>
      </c>
      <c r="K49" s="34" t="str">
        <f t="shared" si="1"/>
        <v>Mixed|700to900</v>
      </c>
      <c r="L49" s="44"/>
      <c r="M49" s="44"/>
      <c r="N49" s="47"/>
      <c r="O49" s="35"/>
      <c r="P49" s="130"/>
    </row>
    <row r="50" spans="2:16">
      <c r="B50" s="129"/>
      <c r="C50" s="179" t="s">
        <v>186</v>
      </c>
      <c r="D50" s="179" t="s">
        <v>176</v>
      </c>
      <c r="E50" s="179" t="b">
        <v>1</v>
      </c>
      <c r="F50" s="179" t="s">
        <v>187</v>
      </c>
      <c r="G50" s="179" t="s">
        <v>178</v>
      </c>
      <c r="H50" s="43" t="str">
        <f t="shared" si="0"/>
        <v>Lower Stour|Cereals|TRUE|600to700|FreeDrain</v>
      </c>
      <c r="I50" s="125">
        <v>4.0852826324445334E-2</v>
      </c>
      <c r="J50" s="47">
        <v>25.414352159186979</v>
      </c>
      <c r="K50" s="34" t="str">
        <f t="shared" si="1"/>
        <v>Cereals|600to700</v>
      </c>
      <c r="L50" s="44">
        <f>AVERAGE(I50:I52)</f>
        <v>0.29735663730967005</v>
      </c>
      <c r="M50" s="44">
        <f>AVERAGE(J50:J52)</f>
        <v>21.054133163104304</v>
      </c>
      <c r="N50" s="47"/>
      <c r="O50" s="35"/>
      <c r="P50" s="130"/>
    </row>
    <row r="51" spans="2:16">
      <c r="B51" s="129"/>
      <c r="C51" s="179" t="s">
        <v>186</v>
      </c>
      <c r="D51" s="179" t="s">
        <v>176</v>
      </c>
      <c r="E51" s="179" t="b">
        <v>0</v>
      </c>
      <c r="F51" s="179" t="s">
        <v>187</v>
      </c>
      <c r="G51" s="179" t="s">
        <v>179</v>
      </c>
      <c r="H51" s="43" t="str">
        <f t="shared" si="0"/>
        <v>Lower Stour|Cereals|FALSE|600to700|DrainedAr</v>
      </c>
      <c r="I51" s="125">
        <v>0.31827552680950183</v>
      </c>
      <c r="J51" s="47">
        <v>18.365906986467863</v>
      </c>
      <c r="K51" s="34" t="str">
        <f t="shared" si="1"/>
        <v>Cereals|600to700</v>
      </c>
      <c r="L51" s="44"/>
      <c r="M51" s="44"/>
      <c r="N51" s="47"/>
      <c r="O51" s="35"/>
      <c r="P51" s="130"/>
    </row>
    <row r="52" spans="2:16">
      <c r="B52" s="129"/>
      <c r="C52" s="179" t="s">
        <v>186</v>
      </c>
      <c r="D52" s="179" t="s">
        <v>176</v>
      </c>
      <c r="E52" s="179" t="b">
        <v>1</v>
      </c>
      <c r="F52" s="179" t="s">
        <v>187</v>
      </c>
      <c r="G52" s="179" t="s">
        <v>180</v>
      </c>
      <c r="H52" s="43" t="str">
        <f t="shared" si="0"/>
        <v>Lower Stour|Cereals|TRUE|600to700|DrainedArGr</v>
      </c>
      <c r="I52" s="125">
        <v>0.53294155879506289</v>
      </c>
      <c r="J52" s="47">
        <v>19.382140343658072</v>
      </c>
      <c r="K52" s="34" t="str">
        <f t="shared" si="1"/>
        <v>Cereals|600to700</v>
      </c>
      <c r="L52" s="44"/>
      <c r="M52" s="44"/>
      <c r="N52" s="47"/>
      <c r="O52" s="35"/>
      <c r="P52" s="130"/>
    </row>
    <row r="53" spans="2:16">
      <c r="B53" s="129"/>
      <c r="C53" s="179" t="s">
        <v>186</v>
      </c>
      <c r="D53" s="179" t="s">
        <v>176</v>
      </c>
      <c r="E53" s="179" t="b">
        <v>1</v>
      </c>
      <c r="F53" s="179" t="s">
        <v>177</v>
      </c>
      <c r="G53" s="179" t="s">
        <v>178</v>
      </c>
      <c r="H53" s="43" t="str">
        <f t="shared" si="0"/>
        <v>Lower Stour|Cereals|TRUE|700to900|FreeDrain</v>
      </c>
      <c r="I53" s="125">
        <v>9.6074945438504977E-2</v>
      </c>
      <c r="J53" s="47">
        <v>30.351214503440588</v>
      </c>
      <c r="K53" s="34" t="str">
        <f t="shared" si="1"/>
        <v>Cereals|700to900</v>
      </c>
      <c r="L53" s="44">
        <f>AVERAGE(I53:I54,I157)</f>
        <v>0.58479511229657433</v>
      </c>
      <c r="M53" s="44">
        <f>AVERAGE(J53:J54,J157)</f>
        <v>25.071874890579014</v>
      </c>
      <c r="N53" s="47"/>
      <c r="O53" s="35"/>
      <c r="P53" s="130"/>
    </row>
    <row r="54" spans="2:16">
      <c r="B54" s="129"/>
      <c r="C54" s="179" t="s">
        <v>186</v>
      </c>
      <c r="D54" s="179" t="s">
        <v>176</v>
      </c>
      <c r="E54" s="179" t="b">
        <v>1</v>
      </c>
      <c r="F54" s="179" t="s">
        <v>177</v>
      </c>
      <c r="G54" s="179" t="s">
        <v>179</v>
      </c>
      <c r="H54" s="43" t="str">
        <f t="shared" si="0"/>
        <v>Lower Stour|Cereals|TRUE|700to900|DrainedAr</v>
      </c>
      <c r="I54" s="125">
        <v>0.68785627008873562</v>
      </c>
      <c r="J54" s="47">
        <v>22.842131222675832</v>
      </c>
      <c r="K54" s="34" t="str">
        <f t="shared" si="1"/>
        <v>Cereals|700to900</v>
      </c>
      <c r="L54" s="44"/>
      <c r="M54" s="44"/>
      <c r="N54" s="47"/>
      <c r="O54" s="35"/>
      <c r="P54" s="130"/>
    </row>
    <row r="55" spans="2:16">
      <c r="B55" s="129"/>
      <c r="C55" s="179" t="s">
        <v>186</v>
      </c>
      <c r="D55" s="179" t="s">
        <v>181</v>
      </c>
      <c r="E55" s="179" t="b">
        <v>0</v>
      </c>
      <c r="F55" s="179" t="s">
        <v>187</v>
      </c>
      <c r="G55" s="179" t="s">
        <v>178</v>
      </c>
      <c r="H55" s="43" t="str">
        <f t="shared" si="0"/>
        <v>Lower Stour|General|FALSE|600to700|FreeDrain</v>
      </c>
      <c r="I55" s="125">
        <v>3.2700828269889688E-2</v>
      </c>
      <c r="J55" s="47">
        <v>19.889779626424396</v>
      </c>
      <c r="K55" s="34" t="str">
        <f t="shared" si="1"/>
        <v>General|600to700</v>
      </c>
      <c r="L55" s="44">
        <f>AVERAGE(I55,I57,I59)</f>
        <v>0.2203387659528934</v>
      </c>
      <c r="M55" s="44">
        <f>AVERAGE(J55,J57,J59)</f>
        <v>16.161153384258718</v>
      </c>
      <c r="N55" s="47"/>
      <c r="O55" s="35"/>
      <c r="P55" s="130"/>
    </row>
    <row r="56" spans="2:16">
      <c r="B56" s="129"/>
      <c r="C56" s="179" t="s">
        <v>186</v>
      </c>
      <c r="D56" s="179" t="s">
        <v>181</v>
      </c>
      <c r="E56" s="179" t="b">
        <v>1</v>
      </c>
      <c r="F56" s="179" t="s">
        <v>187</v>
      </c>
      <c r="G56" s="179" t="s">
        <v>178</v>
      </c>
      <c r="H56" s="43" t="str">
        <f t="shared" si="0"/>
        <v>Lower Stour|General|TRUE|600to700|FreeDrain</v>
      </c>
      <c r="I56" s="125">
        <v>3.2700828269889688E-2</v>
      </c>
      <c r="J56" s="47">
        <v>19.831963209642495</v>
      </c>
      <c r="K56" s="34" t="str">
        <f t="shared" si="1"/>
        <v>General|600to700</v>
      </c>
      <c r="L56" s="44"/>
      <c r="M56" s="44"/>
      <c r="N56" s="47"/>
      <c r="O56" s="35"/>
      <c r="P56" s="130"/>
    </row>
    <row r="57" spans="2:16">
      <c r="B57" s="129"/>
      <c r="C57" s="179" t="s">
        <v>186</v>
      </c>
      <c r="D57" s="179" t="s">
        <v>181</v>
      </c>
      <c r="E57" s="179" t="b">
        <v>0</v>
      </c>
      <c r="F57" s="179" t="s">
        <v>187</v>
      </c>
      <c r="G57" s="179" t="s">
        <v>179</v>
      </c>
      <c r="H57" s="43" t="str">
        <f t="shared" si="0"/>
        <v>Lower Stour|General|FALSE|600to700|DrainedAr</v>
      </c>
      <c r="I57" s="125">
        <v>0.22047479442971948</v>
      </c>
      <c r="J57" s="47">
        <v>14.041598585602575</v>
      </c>
      <c r="K57" s="34" t="str">
        <f t="shared" si="1"/>
        <v>General|600to700</v>
      </c>
      <c r="L57" s="44"/>
      <c r="M57" s="44"/>
      <c r="N57" s="47"/>
      <c r="O57" s="35"/>
      <c r="P57" s="130"/>
    </row>
    <row r="58" spans="2:16">
      <c r="B58" s="129"/>
      <c r="C58" s="179" t="s">
        <v>186</v>
      </c>
      <c r="D58" s="179" t="s">
        <v>181</v>
      </c>
      <c r="E58" s="179" t="b">
        <v>1</v>
      </c>
      <c r="F58" s="179" t="s">
        <v>187</v>
      </c>
      <c r="G58" s="179" t="s">
        <v>179</v>
      </c>
      <c r="H58" s="43" t="str">
        <f t="shared" si="0"/>
        <v>Lower Stour|General|TRUE|600to700|DrainedAr</v>
      </c>
      <c r="I58" s="125">
        <v>0.22047479442971948</v>
      </c>
      <c r="J58" s="47">
        <v>14.004415494451276</v>
      </c>
      <c r="K58" s="34" t="str">
        <f t="shared" si="1"/>
        <v>General|600to700</v>
      </c>
      <c r="L58" s="44"/>
      <c r="M58" s="44"/>
      <c r="N58" s="47"/>
      <c r="O58" s="35"/>
      <c r="P58" s="130"/>
    </row>
    <row r="59" spans="2:16">
      <c r="B59" s="129"/>
      <c r="C59" s="179" t="s">
        <v>186</v>
      </c>
      <c r="D59" s="179" t="s">
        <v>181</v>
      </c>
      <c r="E59" s="179" t="b">
        <v>1</v>
      </c>
      <c r="F59" s="179" t="s">
        <v>187</v>
      </c>
      <c r="G59" s="179" t="s">
        <v>180</v>
      </c>
      <c r="H59" s="43" t="str">
        <f t="shared" si="0"/>
        <v>Lower Stour|General|TRUE|600to700|DrainedArGr</v>
      </c>
      <c r="I59" s="125">
        <v>0.40784067515907096</v>
      </c>
      <c r="J59" s="47">
        <v>14.552081940749181</v>
      </c>
      <c r="K59" s="34" t="str">
        <f t="shared" si="1"/>
        <v>General|600to700</v>
      </c>
      <c r="L59" s="44"/>
      <c r="M59" s="44"/>
      <c r="N59" s="47"/>
      <c r="O59" s="35"/>
      <c r="P59" s="130"/>
    </row>
    <row r="60" spans="2:16">
      <c r="B60" s="129"/>
      <c r="C60" s="179" t="s">
        <v>186</v>
      </c>
      <c r="D60" s="179" t="s">
        <v>181</v>
      </c>
      <c r="E60" s="179" t="b">
        <v>0</v>
      </c>
      <c r="F60" s="179" t="s">
        <v>177</v>
      </c>
      <c r="G60" s="179" t="s">
        <v>178</v>
      </c>
      <c r="H60" s="43" t="str">
        <f t="shared" si="0"/>
        <v>Lower Stour|General|FALSE|700to900|FreeDrain</v>
      </c>
      <c r="I60" s="125">
        <v>7.5539243964215352E-2</v>
      </c>
      <c r="J60" s="47">
        <v>23.791657471888772</v>
      </c>
      <c r="K60" s="34" t="str">
        <f t="shared" si="1"/>
        <v>General|700to900</v>
      </c>
      <c r="L60" s="44">
        <f>AVERAGE(I60,I62,I174)</f>
        <v>0.44878013576403059</v>
      </c>
      <c r="M60" s="44">
        <f>AVERAGE(J60,J62,J174)</f>
        <v>19.595908201304038</v>
      </c>
      <c r="N60" s="47"/>
      <c r="O60" s="35"/>
      <c r="P60" s="130"/>
    </row>
    <row r="61" spans="2:16">
      <c r="B61" s="129"/>
      <c r="C61" s="179" t="s">
        <v>186</v>
      </c>
      <c r="D61" s="179" t="s">
        <v>181</v>
      </c>
      <c r="E61" s="179" t="b">
        <v>1</v>
      </c>
      <c r="F61" s="179" t="s">
        <v>177</v>
      </c>
      <c r="G61" s="179" t="s">
        <v>178</v>
      </c>
      <c r="H61" s="43" t="str">
        <f t="shared" si="0"/>
        <v>Lower Stour|General|TRUE|700to900|FreeDrain</v>
      </c>
      <c r="I61" s="125">
        <v>7.5539243964215352E-2</v>
      </c>
      <c r="J61" s="47">
        <v>23.723636104665584</v>
      </c>
      <c r="K61" s="34" t="str">
        <f t="shared" si="1"/>
        <v>General|700to900</v>
      </c>
      <c r="L61" s="44"/>
      <c r="M61" s="44"/>
      <c r="N61" s="47"/>
      <c r="O61" s="35"/>
      <c r="P61" s="130"/>
    </row>
    <row r="62" spans="2:16">
      <c r="B62" s="129"/>
      <c r="C62" s="179" t="s">
        <v>186</v>
      </c>
      <c r="D62" s="179" t="s">
        <v>181</v>
      </c>
      <c r="E62" s="179" t="b">
        <v>1</v>
      </c>
      <c r="F62" s="179" t="s">
        <v>177</v>
      </c>
      <c r="G62" s="179" t="s">
        <v>179</v>
      </c>
      <c r="H62" s="43" t="str">
        <f t="shared" si="0"/>
        <v>Lower Stour|General|TRUE|700to900|DrainedAr</v>
      </c>
      <c r="I62" s="125">
        <v>0.47142460093532446</v>
      </c>
      <c r="J62" s="47">
        <v>17.504868403245418</v>
      </c>
      <c r="K62" s="34" t="str">
        <f t="shared" si="1"/>
        <v>General|700to900</v>
      </c>
      <c r="L62" s="44"/>
      <c r="M62" s="44"/>
      <c r="N62" s="47"/>
      <c r="O62" s="35"/>
      <c r="P62" s="130"/>
    </row>
    <row r="63" spans="2:16">
      <c r="B63" s="129"/>
      <c r="C63" s="179" t="s">
        <v>186</v>
      </c>
      <c r="D63" s="46" t="s">
        <v>182</v>
      </c>
      <c r="E63" s="179" t="b">
        <v>1</v>
      </c>
      <c r="F63" s="179" t="s">
        <v>187</v>
      </c>
      <c r="G63" s="179" t="s">
        <v>178</v>
      </c>
      <c r="H63" s="43" t="str">
        <f t="shared" si="0"/>
        <v>Lower Stour|Horticulture|TRUE|600to700|FreeDrain</v>
      </c>
      <c r="I63" s="125">
        <v>2.0210791952289801E-2</v>
      </c>
      <c r="J63" s="47">
        <v>10.787603330071402</v>
      </c>
      <c r="K63" s="34" t="str">
        <f t="shared" si="1"/>
        <v>Horticulture|600to700</v>
      </c>
      <c r="L63" s="44">
        <f>AVERAGE(I63,I181,I182)</f>
        <v>0.19157434110900518</v>
      </c>
      <c r="M63" s="44">
        <f>AVERAGE(J63,J181,J182)</f>
        <v>9.9483596247676598</v>
      </c>
      <c r="N63" s="47"/>
      <c r="O63" s="35"/>
      <c r="P63" s="130"/>
    </row>
    <row r="64" spans="2:16">
      <c r="B64" s="129"/>
      <c r="C64" s="179" t="s">
        <v>186</v>
      </c>
      <c r="D64" s="46" t="s">
        <v>182</v>
      </c>
      <c r="E64" s="179" t="b">
        <v>0</v>
      </c>
      <c r="F64" s="179" t="s">
        <v>177</v>
      </c>
      <c r="G64" s="179" t="s">
        <v>178</v>
      </c>
      <c r="H64" s="43" t="str">
        <f t="shared" si="0"/>
        <v>Lower Stour|Horticulture|FALSE|700to900|FreeDrain</v>
      </c>
      <c r="I64" s="125">
        <v>4.8810461428306341E-2</v>
      </c>
      <c r="J64" s="47">
        <v>13.083396758374894</v>
      </c>
      <c r="K64" s="34" t="str">
        <f t="shared" si="1"/>
        <v>Horticulture|700to900</v>
      </c>
      <c r="L64" s="44">
        <f>AVERAGE(I64,I66,I187)</f>
        <v>0.33588053353152908</v>
      </c>
      <c r="M64" s="44">
        <f>AVERAGE(J64,J66,J187)</f>
        <v>10.994063752466843</v>
      </c>
      <c r="N64" s="47"/>
      <c r="O64" s="35"/>
      <c r="P64" s="130"/>
    </row>
    <row r="65" spans="2:16">
      <c r="B65" s="129"/>
      <c r="C65" s="179" t="s">
        <v>186</v>
      </c>
      <c r="D65" s="46" t="s">
        <v>182</v>
      </c>
      <c r="E65" s="179" t="b">
        <v>1</v>
      </c>
      <c r="F65" s="179" t="s">
        <v>177</v>
      </c>
      <c r="G65" s="179" t="s">
        <v>178</v>
      </c>
      <c r="H65" s="43" t="str">
        <f t="shared" si="0"/>
        <v>Lower Stour|Horticulture|TRUE|700to900|FreeDrain</v>
      </c>
      <c r="I65" s="125">
        <v>4.8810461428306341E-2</v>
      </c>
      <c r="J65" s="47">
        <v>13.049181617038023</v>
      </c>
      <c r="K65" s="34" t="str">
        <f t="shared" si="1"/>
        <v>Horticulture|700to900</v>
      </c>
      <c r="L65" s="44"/>
      <c r="M65" s="44"/>
      <c r="N65" s="47"/>
      <c r="O65" s="35"/>
      <c r="P65" s="130"/>
    </row>
    <row r="66" spans="2:16">
      <c r="B66" s="129"/>
      <c r="C66" s="179" t="s">
        <v>186</v>
      </c>
      <c r="D66" s="46" t="s">
        <v>182</v>
      </c>
      <c r="E66" s="179" t="b">
        <v>1</v>
      </c>
      <c r="F66" s="179" t="s">
        <v>177</v>
      </c>
      <c r="G66" s="179" t="s">
        <v>179</v>
      </c>
      <c r="H66" s="43" t="str">
        <f t="shared" si="0"/>
        <v>Lower Stour|Horticulture|TRUE|700to900|DrainedAr</v>
      </c>
      <c r="I66" s="125">
        <v>0.34952669326733898</v>
      </c>
      <c r="J66" s="47">
        <v>9.4003701703265445</v>
      </c>
      <c r="K66" s="34" t="str">
        <f t="shared" si="1"/>
        <v>Horticulture|700to900</v>
      </c>
      <c r="L66" s="44"/>
      <c r="M66" s="44"/>
      <c r="N66" s="47"/>
      <c r="O66" s="35"/>
      <c r="P66" s="130"/>
    </row>
    <row r="67" spans="2:16">
      <c r="B67" s="129"/>
      <c r="C67" s="179" t="s">
        <v>186</v>
      </c>
      <c r="D67" s="179" t="s">
        <v>184</v>
      </c>
      <c r="E67" s="179" t="b">
        <v>0</v>
      </c>
      <c r="F67" s="179" t="s">
        <v>187</v>
      </c>
      <c r="G67" s="179" t="s">
        <v>178</v>
      </c>
      <c r="H67" s="43" t="str">
        <f t="shared" si="0"/>
        <v>Lower Stour|Lowland|FALSE|600to700|FreeDrain</v>
      </c>
      <c r="I67" s="125">
        <v>3.2612424629658632E-2</v>
      </c>
      <c r="J67" s="47">
        <v>10.560818421846154</v>
      </c>
      <c r="K67" s="34" t="str">
        <f t="shared" si="1"/>
        <v>Lowland|600to700</v>
      </c>
      <c r="L67" s="44">
        <f>AVERAGE(I67,I211,I213)</f>
        <v>0.19063393596914871</v>
      </c>
      <c r="M67" s="44">
        <f>AVERAGE(J67,J211,J213)</f>
        <v>8.6905665469408291</v>
      </c>
      <c r="N67" s="47"/>
      <c r="O67" s="35"/>
      <c r="P67" s="130"/>
    </row>
    <row r="68" spans="2:16">
      <c r="B68" s="129"/>
      <c r="C68" s="179" t="s">
        <v>186</v>
      </c>
      <c r="D68" s="179" t="s">
        <v>184</v>
      </c>
      <c r="E68" s="179" t="b">
        <v>1</v>
      </c>
      <c r="F68" s="179" t="s">
        <v>187</v>
      </c>
      <c r="G68" s="179" t="s">
        <v>178</v>
      </c>
      <c r="H68" s="43" t="str">
        <f t="shared" si="0"/>
        <v>Lower Stour|Lowland|TRUE|600to700|FreeDrain</v>
      </c>
      <c r="I68" s="125">
        <v>3.2612383151314733E-2</v>
      </c>
      <c r="J68" s="47">
        <v>10.504110994537308</v>
      </c>
      <c r="K68" s="34" t="str">
        <f t="shared" si="1"/>
        <v>Lowland|600to700</v>
      </c>
      <c r="L68" s="44"/>
      <c r="M68" s="44"/>
      <c r="N68" s="47"/>
      <c r="O68" s="35"/>
      <c r="P68" s="130"/>
    </row>
    <row r="69" spans="2:16">
      <c r="B69" s="129"/>
      <c r="C69" s="179" t="s">
        <v>186</v>
      </c>
      <c r="D69" s="179" t="s">
        <v>184</v>
      </c>
      <c r="E69" s="179" t="b">
        <v>1</v>
      </c>
      <c r="F69" s="179" t="s">
        <v>177</v>
      </c>
      <c r="G69" s="179" t="s">
        <v>178</v>
      </c>
      <c r="H69" s="43" t="str">
        <f t="shared" si="0"/>
        <v>Lower Stour|Lowland|TRUE|700to900|FreeDrain</v>
      </c>
      <c r="I69" s="125">
        <v>6.0688200035643167E-2</v>
      </c>
      <c r="J69" s="47">
        <v>14.666439494360997</v>
      </c>
      <c r="K69" s="34" t="str">
        <f t="shared" si="1"/>
        <v>Lowland|700to900</v>
      </c>
      <c r="L69" s="44">
        <f>AVERAGE(I69:I70,I72)</f>
        <v>0.29203104821925496</v>
      </c>
      <c r="M69" s="44">
        <f>AVERAGE(J69:J70,J72)</f>
        <v>11.568506023125176</v>
      </c>
      <c r="N69" s="47"/>
      <c r="O69" s="35"/>
      <c r="P69" s="130"/>
    </row>
    <row r="70" spans="2:16">
      <c r="B70" s="129"/>
      <c r="C70" s="179" t="s">
        <v>186</v>
      </c>
      <c r="D70" s="179" t="s">
        <v>184</v>
      </c>
      <c r="E70" s="179" t="b">
        <v>0</v>
      </c>
      <c r="F70" s="179" t="s">
        <v>177</v>
      </c>
      <c r="G70" s="179" t="s">
        <v>179</v>
      </c>
      <c r="H70" s="43" t="str">
        <f t="shared" si="0"/>
        <v>Lower Stour|Lowland|FALSE|700to900|DrainedAr</v>
      </c>
      <c r="I70" s="125">
        <v>0.14964939494164414</v>
      </c>
      <c r="J70" s="47">
        <v>11.401515701077146</v>
      </c>
      <c r="K70" s="34" t="str">
        <f t="shared" si="1"/>
        <v>Lowland|700to900</v>
      </c>
      <c r="L70" s="44"/>
      <c r="M70" s="44"/>
      <c r="N70" s="47"/>
      <c r="O70" s="35"/>
      <c r="P70" s="130"/>
    </row>
    <row r="71" spans="2:16">
      <c r="B71" s="129"/>
      <c r="C71" s="179" t="s">
        <v>186</v>
      </c>
      <c r="D71" s="179" t="s">
        <v>184</v>
      </c>
      <c r="E71" s="179" t="b">
        <v>1</v>
      </c>
      <c r="F71" s="179" t="s">
        <v>177</v>
      </c>
      <c r="G71" s="179" t="s">
        <v>179</v>
      </c>
      <c r="H71" s="43" t="str">
        <f t="shared" si="0"/>
        <v>Lower Stour|Lowland|TRUE|700to900|DrainedAr</v>
      </c>
      <c r="I71" s="125">
        <v>0.14964931300345863</v>
      </c>
      <c r="J71" s="47">
        <v>11.344895327498515</v>
      </c>
      <c r="K71" s="34" t="str">
        <f t="shared" si="1"/>
        <v>Lowland|700to900</v>
      </c>
      <c r="L71" s="44"/>
      <c r="M71" s="44"/>
      <c r="N71" s="47"/>
      <c r="O71" s="35"/>
      <c r="P71" s="130"/>
    </row>
    <row r="72" spans="2:16">
      <c r="B72" s="129"/>
      <c r="C72" s="179" t="s">
        <v>186</v>
      </c>
      <c r="D72" s="179" t="s">
        <v>184</v>
      </c>
      <c r="E72" s="179" t="b">
        <v>1</v>
      </c>
      <c r="F72" s="179" t="s">
        <v>177</v>
      </c>
      <c r="G72" s="179" t="s">
        <v>180</v>
      </c>
      <c r="H72" s="43" t="str">
        <f t="shared" si="0"/>
        <v>Lower Stour|Lowland|TRUE|700to900|DrainedArGr</v>
      </c>
      <c r="I72" s="125">
        <v>0.66575554968047757</v>
      </c>
      <c r="J72" s="47">
        <v>8.637562873937382</v>
      </c>
      <c r="K72" s="34" t="str">
        <f t="shared" si="1"/>
        <v>Lowland|700to900</v>
      </c>
      <c r="L72" s="44"/>
      <c r="M72" s="44"/>
      <c r="N72" s="47"/>
      <c r="O72" s="35"/>
      <c r="P72" s="130"/>
    </row>
    <row r="73" spans="2:16">
      <c r="B73" s="129"/>
      <c r="C73" s="179" t="s">
        <v>186</v>
      </c>
      <c r="D73" s="179" t="s">
        <v>185</v>
      </c>
      <c r="E73" s="179" t="b">
        <v>1</v>
      </c>
      <c r="F73" s="179" t="s">
        <v>187</v>
      </c>
      <c r="G73" s="179" t="s">
        <v>178</v>
      </c>
      <c r="H73" s="43" t="str">
        <f t="shared" si="0"/>
        <v>Lower Stour|Mixed|TRUE|600to700|FreeDrain</v>
      </c>
      <c r="I73" s="125">
        <v>4.1004124256161845E-2</v>
      </c>
      <c r="J73" s="47">
        <v>24.408134144006414</v>
      </c>
      <c r="K73" s="34" t="str">
        <f t="shared" si="1"/>
        <v>Mixed|600to700</v>
      </c>
      <c r="L73" s="44">
        <f>AVERAGE(I73:I74,I227)</f>
        <v>0.28335875964354079</v>
      </c>
      <c r="M73" s="44">
        <f>AVERAGE(J73:J74,J227)</f>
        <v>19.363593995430236</v>
      </c>
      <c r="N73" s="47"/>
      <c r="O73" s="35"/>
      <c r="P73" s="130"/>
    </row>
    <row r="74" spans="2:16">
      <c r="B74" s="129"/>
      <c r="C74" s="179" t="s">
        <v>186</v>
      </c>
      <c r="D74" s="179" t="s">
        <v>185</v>
      </c>
      <c r="E74" s="179" t="b">
        <v>0</v>
      </c>
      <c r="F74" s="179" t="s">
        <v>187</v>
      </c>
      <c r="G74" s="179" t="s">
        <v>180</v>
      </c>
      <c r="H74" s="43" t="str">
        <f t="shared" si="0"/>
        <v>Lower Stour|Mixed|FALSE|600to700|DrainedArGr</v>
      </c>
      <c r="I74" s="125">
        <v>0.54569871598520403</v>
      </c>
      <c r="J74" s="47">
        <v>17.490322329467894</v>
      </c>
      <c r="K74" s="34" t="str">
        <f t="shared" si="1"/>
        <v>Mixed|600to700</v>
      </c>
      <c r="L74" s="44"/>
      <c r="M74" s="44"/>
      <c r="N74" s="47"/>
      <c r="O74" s="35"/>
      <c r="P74" s="130"/>
    </row>
    <row r="75" spans="2:16">
      <c r="B75" s="129"/>
      <c r="C75" s="179" t="s">
        <v>186</v>
      </c>
      <c r="D75" s="179" t="s">
        <v>185</v>
      </c>
      <c r="E75" s="179" t="b">
        <v>1</v>
      </c>
      <c r="F75" s="179" t="s">
        <v>177</v>
      </c>
      <c r="G75" s="179" t="s">
        <v>178</v>
      </c>
      <c r="H75" s="43" t="str">
        <f t="shared" si="0"/>
        <v>Lower Stour|Mixed|TRUE|700to900|FreeDrain</v>
      </c>
      <c r="I75" s="125">
        <v>8.9307015431550479E-2</v>
      </c>
      <c r="J75" s="47">
        <v>30.122447577538871</v>
      </c>
      <c r="K75" s="34" t="str">
        <f t="shared" si="1"/>
        <v>Mixed|700to900</v>
      </c>
      <c r="L75" s="44">
        <f>AVERAGE(I75:I76,I233)</f>
        <v>0.51984537643264073</v>
      </c>
      <c r="M75" s="44">
        <f>AVERAGE(J75:J76,J233)</f>
        <v>23.799359425309593</v>
      </c>
      <c r="N75" s="47"/>
      <c r="O75" s="35"/>
      <c r="P75" s="130"/>
    </row>
    <row r="76" spans="2:16">
      <c r="B76" s="129"/>
      <c r="C76" s="179" t="s">
        <v>186</v>
      </c>
      <c r="D76" s="179" t="s">
        <v>185</v>
      </c>
      <c r="E76" s="179" t="b">
        <v>1</v>
      </c>
      <c r="F76" s="179" t="s">
        <v>177</v>
      </c>
      <c r="G76" s="179" t="s">
        <v>179</v>
      </c>
      <c r="H76" s="43" t="str">
        <f>C76&amp;"|"&amp;D76&amp;"|"&amp;E76&amp;"|"&amp;F76&amp;"|"&amp;G76</f>
        <v>Lower Stour|Mixed|TRUE|700to900|DrainedAr</v>
      </c>
      <c r="I76" s="125">
        <v>0.51619901042657823</v>
      </c>
      <c r="J76" s="47">
        <v>22.496469552306742</v>
      </c>
      <c r="K76" s="34" t="str">
        <f t="shared" si="1"/>
        <v>Mixed|700to900</v>
      </c>
      <c r="L76" s="44"/>
      <c r="M76" s="44"/>
      <c r="N76" s="47"/>
      <c r="O76" s="35"/>
      <c r="P76" s="130"/>
    </row>
    <row r="77" spans="2:16">
      <c r="B77" s="129"/>
      <c r="C77" s="179" t="s">
        <v>188</v>
      </c>
      <c r="D77" s="179" t="s">
        <v>176</v>
      </c>
      <c r="E77" s="179" t="b">
        <v>0</v>
      </c>
      <c r="F77" s="179" t="s">
        <v>187</v>
      </c>
      <c r="G77" s="179" t="s">
        <v>178</v>
      </c>
      <c r="H77" s="43" t="str">
        <f t="shared" si="0"/>
        <v>Little Stour and Wingham|Cereals|FALSE|600to700|FreeDrain</v>
      </c>
      <c r="I77" s="125">
        <v>4.1621650157991061E-2</v>
      </c>
      <c r="J77" s="47">
        <v>25.627721295994828</v>
      </c>
      <c r="K77" s="34" t="str">
        <f t="shared" si="1"/>
        <v>Cereals|600to700</v>
      </c>
      <c r="L77" s="44">
        <f>AVERAGE(I78:I79,I150)</f>
        <v>0.30652266471303219</v>
      </c>
      <c r="M77" s="44">
        <f>AVERAGE(J78:J79,J150)</f>
        <v>21.461291487805525</v>
      </c>
      <c r="N77" s="47"/>
      <c r="O77" s="35"/>
      <c r="P77" s="130"/>
    </row>
    <row r="78" spans="2:16">
      <c r="B78" s="129"/>
      <c r="C78" s="179" t="s">
        <v>188</v>
      </c>
      <c r="D78" s="179" t="s">
        <v>176</v>
      </c>
      <c r="E78" s="179" t="b">
        <v>1</v>
      </c>
      <c r="F78" s="179" t="s">
        <v>187</v>
      </c>
      <c r="G78" s="179" t="s">
        <v>178</v>
      </c>
      <c r="H78" s="43" t="str">
        <f t="shared" si="0"/>
        <v>Little Stour and Wingham|Cereals|TRUE|600to700|FreeDrain</v>
      </c>
      <c r="I78" s="125">
        <v>4.1619982361421462E-2</v>
      </c>
      <c r="J78" s="47">
        <v>25.550356131383172</v>
      </c>
      <c r="K78" s="34" t="str">
        <f t="shared" si="1"/>
        <v>Cereals|600to700</v>
      </c>
      <c r="L78" s="44"/>
      <c r="M78" s="44"/>
      <c r="N78" s="47"/>
      <c r="O78" s="35"/>
      <c r="P78" s="130"/>
    </row>
    <row r="79" spans="2:16">
      <c r="B79" s="129"/>
      <c r="C79" s="179" t="s">
        <v>188</v>
      </c>
      <c r="D79" s="179" t="s">
        <v>176</v>
      </c>
      <c r="E79" s="179" t="b">
        <v>0</v>
      </c>
      <c r="F79" s="179" t="s">
        <v>187</v>
      </c>
      <c r="G79" s="179" t="s">
        <v>179</v>
      </c>
      <c r="H79" s="43" t="str">
        <f t="shared" si="0"/>
        <v>Little Stour and Wingham|Cereals|FALSE|600to700|DrainedAr</v>
      </c>
      <c r="I79" s="125">
        <v>0.32757141011514257</v>
      </c>
      <c r="J79" s="47">
        <v>18.659301988590023</v>
      </c>
      <c r="K79" s="34" t="str">
        <f t="shared" si="1"/>
        <v>Cereals|600to700</v>
      </c>
      <c r="L79" s="44"/>
      <c r="M79" s="44"/>
      <c r="N79" s="47"/>
      <c r="O79" s="35"/>
      <c r="P79" s="130"/>
    </row>
    <row r="80" spans="2:16">
      <c r="B80" s="129"/>
      <c r="C80" s="179" t="s">
        <v>188</v>
      </c>
      <c r="D80" s="179" t="s">
        <v>176</v>
      </c>
      <c r="E80" s="179" t="b">
        <v>0</v>
      </c>
      <c r="F80" s="179" t="s">
        <v>177</v>
      </c>
      <c r="G80" s="179" t="s">
        <v>178</v>
      </c>
      <c r="H80" s="43" t="str">
        <f t="shared" si="0"/>
        <v>Little Stour and Wingham|Cereals|FALSE|700to900|FreeDrain</v>
      </c>
      <c r="I80" s="125">
        <v>9.6309007059669494E-2</v>
      </c>
      <c r="J80" s="47">
        <v>30.621864909749327</v>
      </c>
      <c r="K80" s="34" t="str">
        <f t="shared" si="1"/>
        <v>Cereals|700to900</v>
      </c>
      <c r="L80" s="44">
        <f>AVERAGE(I81:I82,I157)</f>
        <v>0.59018635788373608</v>
      </c>
      <c r="M80" s="44">
        <f>AVERAGE(J81:J82,J157)</f>
        <v>25.282213891374383</v>
      </c>
      <c r="N80" s="47"/>
      <c r="O80" s="35"/>
      <c r="P80" s="130"/>
    </row>
    <row r="81" spans="2:16">
      <c r="B81" s="129"/>
      <c r="C81" s="179" t="s">
        <v>188</v>
      </c>
      <c r="D81" s="179" t="s">
        <v>176</v>
      </c>
      <c r="E81" s="179" t="b">
        <v>1</v>
      </c>
      <c r="F81" s="179" t="s">
        <v>177</v>
      </c>
      <c r="G81" s="179" t="s">
        <v>178</v>
      </c>
      <c r="H81" s="43" t="str">
        <f t="shared" si="0"/>
        <v>Little Stour and Wingham|Cereals|TRUE|700to900|FreeDrain</v>
      </c>
      <c r="I81" s="125">
        <v>9.630593229755631E-2</v>
      </c>
      <c r="J81" s="47">
        <v>30.530227944207219</v>
      </c>
      <c r="K81" s="34" t="str">
        <f t="shared" si="1"/>
        <v>Cereals|700to900</v>
      </c>
      <c r="L81" s="44"/>
      <c r="M81" s="44"/>
      <c r="N81" s="47"/>
      <c r="O81" s="35"/>
      <c r="P81" s="130"/>
    </row>
    <row r="82" spans="2:16">
      <c r="B82" s="129"/>
      <c r="C82" s="179" t="s">
        <v>188</v>
      </c>
      <c r="D82" s="179" t="s">
        <v>176</v>
      </c>
      <c r="E82" s="179" t="b">
        <v>0</v>
      </c>
      <c r="F82" s="179" t="s">
        <v>177</v>
      </c>
      <c r="G82" s="179" t="s">
        <v>179</v>
      </c>
      <c r="H82" s="43" t="str">
        <f t="shared" si="0"/>
        <v>Little Stour and Wingham|Cereals|FALSE|700to900|DrainedAr</v>
      </c>
      <c r="I82" s="125">
        <v>0.70379901999116989</v>
      </c>
      <c r="J82" s="47">
        <v>23.294134784295306</v>
      </c>
      <c r="K82" s="34" t="str">
        <f t="shared" si="1"/>
        <v>Cereals|700to900</v>
      </c>
      <c r="L82" s="44"/>
      <c r="M82" s="44"/>
      <c r="N82" s="47"/>
      <c r="O82" s="35"/>
      <c r="P82" s="130"/>
    </row>
    <row r="83" spans="2:16">
      <c r="B83" s="129"/>
      <c r="C83" s="179" t="s">
        <v>188</v>
      </c>
      <c r="D83" s="179" t="s">
        <v>176</v>
      </c>
      <c r="E83" s="179" t="b">
        <v>1</v>
      </c>
      <c r="F83" s="179" t="s">
        <v>177</v>
      </c>
      <c r="G83" s="179" t="s">
        <v>179</v>
      </c>
      <c r="H83" s="43" t="str">
        <f t="shared" si="0"/>
        <v>Little Stour and Wingham|Cereals|TRUE|700to900|DrainedAr</v>
      </c>
      <c r="I83" s="125">
        <v>0.70376743271167375</v>
      </c>
      <c r="J83" s="47">
        <v>23.231127952614234</v>
      </c>
      <c r="K83" s="34" t="str">
        <f t="shared" si="1"/>
        <v>Cereals|700to900</v>
      </c>
      <c r="L83" s="44"/>
      <c r="M83" s="44"/>
      <c r="N83" s="47"/>
      <c r="O83" s="35"/>
      <c r="P83" s="130"/>
    </row>
    <row r="84" spans="2:16">
      <c r="B84" s="129"/>
      <c r="C84" s="179" t="s">
        <v>188</v>
      </c>
      <c r="D84" s="179" t="s">
        <v>181</v>
      </c>
      <c r="E84" s="179" t="b">
        <v>0</v>
      </c>
      <c r="F84" s="179" t="s">
        <v>187</v>
      </c>
      <c r="G84" s="179" t="s">
        <v>178</v>
      </c>
      <c r="H84" s="43" t="str">
        <f t="shared" si="0"/>
        <v>Little Stour and Wingham|General|FALSE|600to700|FreeDrain</v>
      </c>
      <c r="I84" s="125">
        <v>3.4223273072311933E-2</v>
      </c>
      <c r="J84" s="47">
        <v>21.753457303117365</v>
      </c>
      <c r="K84" s="34" t="str">
        <f t="shared" si="1"/>
        <v>General|600to700</v>
      </c>
      <c r="L84" s="44">
        <f>AVERAGE(I84,I167:I168)</f>
        <v>0.24917690434162551</v>
      </c>
      <c r="M84" s="44">
        <f>AVERAGE(J84,J167:J168)</f>
        <v>17.808566831694773</v>
      </c>
      <c r="N84" s="47"/>
      <c r="O84" s="35"/>
      <c r="P84" s="130"/>
    </row>
    <row r="85" spans="2:16">
      <c r="B85" s="129"/>
      <c r="C85" s="179" t="s">
        <v>188</v>
      </c>
      <c r="D85" s="179" t="s">
        <v>181</v>
      </c>
      <c r="E85" s="179" t="b">
        <v>1</v>
      </c>
      <c r="F85" s="179" t="s">
        <v>187</v>
      </c>
      <c r="G85" s="179" t="s">
        <v>178</v>
      </c>
      <c r="H85" s="43" t="str">
        <f t="shared" si="0"/>
        <v>Little Stour and Wingham|General|TRUE|600to700|FreeDrain</v>
      </c>
      <c r="I85" s="125">
        <v>3.4223273072311933E-2</v>
      </c>
      <c r="J85" s="47">
        <v>21.690651034874982</v>
      </c>
      <c r="K85" s="34" t="str">
        <f t="shared" si="1"/>
        <v>General|600to700</v>
      </c>
      <c r="L85" s="44"/>
      <c r="M85" s="44"/>
      <c r="N85" s="47"/>
      <c r="O85" s="35"/>
      <c r="P85" s="130"/>
    </row>
    <row r="86" spans="2:16">
      <c r="B86" s="129"/>
      <c r="C86" s="179" t="s">
        <v>188</v>
      </c>
      <c r="D86" s="179" t="s">
        <v>181</v>
      </c>
      <c r="E86" s="179" t="b">
        <v>0</v>
      </c>
      <c r="F86" s="179" t="s">
        <v>177</v>
      </c>
      <c r="G86" s="179" t="s">
        <v>178</v>
      </c>
      <c r="H86" s="43" t="str">
        <f t="shared" si="0"/>
        <v>Little Stour and Wingham|General|FALSE|700to900|FreeDrain</v>
      </c>
      <c r="I86" s="125">
        <v>7.8354075935755163E-2</v>
      </c>
      <c r="J86" s="47">
        <v>25.995308885535966</v>
      </c>
      <c r="K86" s="34" t="str">
        <f t="shared" si="1"/>
        <v>General|700to900</v>
      </c>
      <c r="L86" s="44">
        <f>AVERAGE(I87:I88,I174)</f>
        <v>0.4627191934016987</v>
      </c>
      <c r="M86" s="44">
        <f>AVERAGE(J87:J88,J174)</f>
        <v>20.860276721866995</v>
      </c>
      <c r="N86" s="47"/>
      <c r="O86" s="35"/>
      <c r="P86" s="130"/>
    </row>
    <row r="87" spans="2:16">
      <c r="B87" s="129"/>
      <c r="C87" s="179" t="s">
        <v>188</v>
      </c>
      <c r="D87" s="179" t="s">
        <v>181</v>
      </c>
      <c r="E87" s="179" t="b">
        <v>1</v>
      </c>
      <c r="F87" s="179" t="s">
        <v>177</v>
      </c>
      <c r="G87" s="179" t="s">
        <v>178</v>
      </c>
      <c r="H87" s="43" t="str">
        <f t="shared" si="0"/>
        <v>Little Stour and Wingham|General|TRUE|700to900|FreeDrain</v>
      </c>
      <c r="I87" s="125">
        <v>7.8354075935755163E-2</v>
      </c>
      <c r="J87" s="47">
        <v>25.921360030239462</v>
      </c>
      <c r="K87" s="34" t="str">
        <f t="shared" si="1"/>
        <v>General|700to900</v>
      </c>
      <c r="L87" s="44"/>
      <c r="M87" s="44"/>
      <c r="N87" s="47"/>
      <c r="O87" s="35"/>
      <c r="P87" s="130"/>
    </row>
    <row r="88" spans="2:16">
      <c r="B88" s="129"/>
      <c r="C88" s="179" t="s">
        <v>188</v>
      </c>
      <c r="D88" s="179" t="s">
        <v>181</v>
      </c>
      <c r="E88" s="179" t="b">
        <v>0</v>
      </c>
      <c r="F88" s="179" t="s">
        <v>177</v>
      </c>
      <c r="G88" s="179" t="s">
        <v>179</v>
      </c>
      <c r="H88" s="43" t="str">
        <f t="shared" si="0"/>
        <v>Little Stour and Wingham|General|FALSE|700to900|DrainedAr</v>
      </c>
      <c r="I88" s="125">
        <v>0.51042694187678905</v>
      </c>
      <c r="J88" s="47">
        <v>19.168271406583607</v>
      </c>
      <c r="K88" s="34" t="str">
        <f t="shared" si="1"/>
        <v>General|700to900</v>
      </c>
      <c r="L88" s="44"/>
      <c r="M88" s="44"/>
      <c r="N88" s="47"/>
      <c r="O88" s="35"/>
      <c r="P88" s="130"/>
    </row>
    <row r="89" spans="2:16">
      <c r="B89" s="129"/>
      <c r="C89" s="179" t="s">
        <v>188</v>
      </c>
      <c r="D89" s="179" t="s">
        <v>181</v>
      </c>
      <c r="E89" s="179" t="b">
        <v>1</v>
      </c>
      <c r="F89" s="179" t="s">
        <v>177</v>
      </c>
      <c r="G89" s="179" t="s">
        <v>179</v>
      </c>
      <c r="H89" s="43" t="str">
        <f t="shared" si="0"/>
        <v>Little Stour and Wingham|General|TRUE|700to900|DrainedAr</v>
      </c>
      <c r="I89" s="125">
        <v>0.51042694187678905</v>
      </c>
      <c r="J89" s="47">
        <v>19.119451598460113</v>
      </c>
      <c r="K89" s="34" t="str">
        <f t="shared" si="1"/>
        <v>General|700to900</v>
      </c>
      <c r="L89" s="44"/>
      <c r="M89" s="44"/>
      <c r="N89" s="47"/>
      <c r="O89" s="35"/>
      <c r="P89" s="130"/>
    </row>
    <row r="90" spans="2:16">
      <c r="B90" s="129"/>
      <c r="C90" s="179" t="s">
        <v>188</v>
      </c>
      <c r="D90" s="179" t="s">
        <v>182</v>
      </c>
      <c r="E90" s="179" t="b">
        <v>0</v>
      </c>
      <c r="F90" s="179" t="s">
        <v>187</v>
      </c>
      <c r="G90" s="179" t="s">
        <v>178</v>
      </c>
      <c r="H90" s="43" t="str">
        <f t="shared" si="0"/>
        <v>Little Stour and Wingham|Horticulture|FALSE|600to700|FreeDrain</v>
      </c>
      <c r="I90" s="125">
        <v>2.5762822770899155E-2</v>
      </c>
      <c r="J90" s="47">
        <v>13.716683134710573</v>
      </c>
      <c r="K90" s="34" t="str">
        <f t="shared" si="1"/>
        <v>Horticulture|600to700</v>
      </c>
      <c r="L90" s="44">
        <f>AVERAGE(I91:I92,I182)</f>
        <v>0.19471893382600347</v>
      </c>
      <c r="M90" s="44">
        <f>AVERAGE(J91:J92,J182)</f>
        <v>10.966262226753443</v>
      </c>
      <c r="N90" s="47"/>
      <c r="O90" s="35"/>
      <c r="P90" s="130"/>
    </row>
    <row r="91" spans="2:16">
      <c r="B91" s="129"/>
      <c r="C91" s="179" t="s">
        <v>188</v>
      </c>
      <c r="D91" s="179" t="s">
        <v>182</v>
      </c>
      <c r="E91" s="179" t="b">
        <v>1</v>
      </c>
      <c r="F91" s="179" t="s">
        <v>187</v>
      </c>
      <c r="G91" s="179" t="s">
        <v>178</v>
      </c>
      <c r="H91" s="43" t="str">
        <f t="shared" si="0"/>
        <v>Little Stour and Wingham|Horticulture|TRUE|600to700|FreeDrain</v>
      </c>
      <c r="I91" s="125">
        <v>2.5762822770899155E-2</v>
      </c>
      <c r="J91" s="47">
        <v>13.680050138700715</v>
      </c>
      <c r="K91" s="34" t="str">
        <f t="shared" si="1"/>
        <v>Horticulture|600to700</v>
      </c>
      <c r="L91" s="44"/>
      <c r="M91" s="44"/>
      <c r="N91" s="47"/>
      <c r="O91" s="35"/>
      <c r="P91" s="130"/>
    </row>
    <row r="92" spans="2:16">
      <c r="B92" s="129"/>
      <c r="C92" s="179" t="s">
        <v>188</v>
      </c>
      <c r="D92" s="179" t="s">
        <v>182</v>
      </c>
      <c r="E92" s="179" t="b">
        <v>0</v>
      </c>
      <c r="F92" s="179" t="s">
        <v>187</v>
      </c>
      <c r="G92" s="179" t="s">
        <v>179</v>
      </c>
      <c r="H92" s="43" t="str">
        <f t="shared" si="0"/>
        <v>Little Stour and Wingham|Horticulture|FALSE|600to700|DrainedAr</v>
      </c>
      <c r="I92" s="125">
        <v>0.20870826309085419</v>
      </c>
      <c r="J92" s="47">
        <v>9.5690587328801637</v>
      </c>
      <c r="K92" s="34" t="str">
        <f t="shared" si="1"/>
        <v>Horticulture|600to700</v>
      </c>
      <c r="L92" s="44"/>
      <c r="M92" s="44"/>
      <c r="N92" s="47"/>
      <c r="O92" s="35"/>
      <c r="P92" s="130"/>
    </row>
    <row r="93" spans="2:16">
      <c r="B93" s="129"/>
      <c r="C93" s="179" t="s">
        <v>188</v>
      </c>
      <c r="D93" s="179" t="s">
        <v>182</v>
      </c>
      <c r="E93" s="179" t="b">
        <v>0</v>
      </c>
      <c r="F93" s="179" t="s">
        <v>177</v>
      </c>
      <c r="G93" s="179" t="s">
        <v>178</v>
      </c>
      <c r="H93" s="43" t="str">
        <f t="shared" si="0"/>
        <v>Little Stour and Wingham|Horticulture|FALSE|700to900|FreeDrain</v>
      </c>
      <c r="I93" s="125">
        <v>6.0372770754876411E-2</v>
      </c>
      <c r="J93" s="47">
        <v>16.442111071387611</v>
      </c>
      <c r="K93" s="34" t="str">
        <f t="shared" si="1"/>
        <v>Horticulture|700to900</v>
      </c>
      <c r="L93" s="44">
        <f>AVERAGE(I94:I95,I187)</f>
        <v>0.37006557068754176</v>
      </c>
      <c r="M93" s="44">
        <f>AVERAGE(J94:J95,J187)</f>
        <v>12.955710049405965</v>
      </c>
      <c r="N93" s="47"/>
      <c r="O93" s="35"/>
      <c r="P93" s="130"/>
    </row>
    <row r="94" spans="2:16">
      <c r="B94" s="129"/>
      <c r="C94" s="179" t="s">
        <v>188</v>
      </c>
      <c r="D94" s="179" t="s">
        <v>182</v>
      </c>
      <c r="E94" s="179" t="b">
        <v>1</v>
      </c>
      <c r="F94" s="179" t="s">
        <v>177</v>
      </c>
      <c r="G94" s="179" t="s">
        <v>178</v>
      </c>
      <c r="H94" s="43" t="str">
        <f t="shared" si="0"/>
        <v>Little Stour and Wingham|Horticulture|TRUE|700to900|FreeDrain</v>
      </c>
      <c r="I94" s="125">
        <v>6.0372770754876411E-2</v>
      </c>
      <c r="J94" s="47">
        <v>16.398681348671907</v>
      </c>
      <c r="K94" s="34" t="str">
        <f t="shared" si="1"/>
        <v>Horticulture|700to900</v>
      </c>
      <c r="L94" s="44"/>
      <c r="M94" s="44"/>
      <c r="N94" s="47"/>
      <c r="O94" s="35"/>
      <c r="P94" s="130"/>
    </row>
    <row r="95" spans="2:16">
      <c r="B95" s="129"/>
      <c r="C95" s="179" t="s">
        <v>188</v>
      </c>
      <c r="D95" s="179" t="s">
        <v>182</v>
      </c>
      <c r="E95" s="179" t="b">
        <v>0</v>
      </c>
      <c r="F95" s="179" t="s">
        <v>177</v>
      </c>
      <c r="G95" s="179" t="s">
        <v>179</v>
      </c>
      <c r="H95" s="43" t="str">
        <f t="shared" ref="H95:H142" si="2">C95&amp;"|"&amp;D95&amp;"|"&amp;E95&amp;"|"&amp;F95&amp;"|"&amp;G95</f>
        <v>Little Stour and Wingham|Horticulture|FALSE|700to900|DrainedAr</v>
      </c>
      <c r="I95" s="125">
        <v>0.44051949540880697</v>
      </c>
      <c r="J95" s="47">
        <v>11.970024470846893</v>
      </c>
      <c r="K95" s="34" t="str">
        <f t="shared" si="1"/>
        <v>Horticulture|700to900</v>
      </c>
      <c r="L95" s="44"/>
      <c r="M95" s="44"/>
      <c r="N95" s="47"/>
      <c r="O95" s="35"/>
      <c r="P95" s="130"/>
    </row>
    <row r="96" spans="2:16">
      <c r="B96" s="129"/>
      <c r="C96" s="179" t="s">
        <v>188</v>
      </c>
      <c r="D96" s="179" t="s">
        <v>182</v>
      </c>
      <c r="E96" s="179" t="b">
        <v>1</v>
      </c>
      <c r="F96" s="179" t="s">
        <v>177</v>
      </c>
      <c r="G96" s="179" t="s">
        <v>179</v>
      </c>
      <c r="H96" s="43" t="str">
        <f t="shared" si="2"/>
        <v>Little Stour and Wingham|Horticulture|TRUE|700to900|DrainedAr</v>
      </c>
      <c r="I96" s="125">
        <v>0.44051949540880697</v>
      </c>
      <c r="J96" s="47">
        <v>11.941280112305762</v>
      </c>
      <c r="K96" s="34" t="str">
        <f t="shared" si="1"/>
        <v>Horticulture|700to900</v>
      </c>
      <c r="L96" s="44"/>
      <c r="M96" s="44"/>
      <c r="N96" s="47"/>
      <c r="O96" s="35"/>
      <c r="P96" s="130"/>
    </row>
    <row r="97" spans="2:16">
      <c r="B97" s="129"/>
      <c r="C97" s="179" t="s">
        <v>188</v>
      </c>
      <c r="D97" s="179" t="s">
        <v>184</v>
      </c>
      <c r="E97" s="179" t="b">
        <v>0</v>
      </c>
      <c r="F97" s="179" t="s">
        <v>187</v>
      </c>
      <c r="G97" s="179" t="s">
        <v>178</v>
      </c>
      <c r="H97" s="43" t="str">
        <f t="shared" si="2"/>
        <v>Little Stour and Wingham|Lowland|FALSE|600to700|FreeDrain</v>
      </c>
      <c r="I97" s="125">
        <v>3.2362836506790331E-2</v>
      </c>
      <c r="J97" s="47">
        <v>10.787677927841395</v>
      </c>
      <c r="K97" s="34" t="str">
        <f t="shared" si="1"/>
        <v>Lowland|600to700</v>
      </c>
      <c r="L97" s="44">
        <f>AVERAGE(I98:I99,I213)</f>
        <v>0.18341390235879507</v>
      </c>
      <c r="M97" s="44">
        <f>AVERAGE(J98:J99,J213)</f>
        <v>8.6133891678560239</v>
      </c>
      <c r="N97" s="47"/>
      <c r="O97" s="35"/>
      <c r="P97" s="130"/>
    </row>
    <row r="98" spans="2:16">
      <c r="B98" s="129"/>
      <c r="C98" s="179" t="s">
        <v>188</v>
      </c>
      <c r="D98" s="179" t="s">
        <v>184</v>
      </c>
      <c r="E98" s="179" t="b">
        <v>1</v>
      </c>
      <c r="F98" s="179" t="s">
        <v>187</v>
      </c>
      <c r="G98" s="179" t="s">
        <v>178</v>
      </c>
      <c r="H98" s="43" t="str">
        <f t="shared" si="2"/>
        <v>Little Stour and Wingham|Lowland|TRUE|600to700|FreeDrain</v>
      </c>
      <c r="I98" s="125">
        <v>3.2362799052308031E-2</v>
      </c>
      <c r="J98" s="47">
        <v>10.733392770070372</v>
      </c>
      <c r="K98" s="34" t="str">
        <f t="shared" si="1"/>
        <v>Lowland|600to700</v>
      </c>
      <c r="L98" s="44"/>
      <c r="M98" s="44"/>
      <c r="N98" s="47"/>
      <c r="O98" s="35"/>
      <c r="P98" s="130"/>
    </row>
    <row r="99" spans="2:16">
      <c r="B99" s="129"/>
      <c r="C99" s="179" t="s">
        <v>188</v>
      </c>
      <c r="D99" s="179" t="s">
        <v>184</v>
      </c>
      <c r="E99" s="179" t="b">
        <v>0</v>
      </c>
      <c r="F99" s="179" t="s">
        <v>187</v>
      </c>
      <c r="G99" s="179" t="s">
        <v>179</v>
      </c>
      <c r="H99" s="43" t="str">
        <f t="shared" si="2"/>
        <v>Little Stour and Wingham|Lowland|FALSE|600to700|DrainedAr</v>
      </c>
      <c r="I99" s="125">
        <v>7.9169953248206013E-2</v>
      </c>
      <c r="J99" s="47">
        <v>7.3248251388871974</v>
      </c>
      <c r="K99" s="34" t="str">
        <f t="shared" si="1"/>
        <v>Lowland|600to700</v>
      </c>
      <c r="L99" s="44"/>
      <c r="M99" s="44"/>
      <c r="N99" s="47"/>
      <c r="O99" s="35"/>
      <c r="P99" s="130"/>
    </row>
    <row r="100" spans="2:16">
      <c r="B100" s="129"/>
      <c r="C100" s="179" t="s">
        <v>188</v>
      </c>
      <c r="D100" s="179" t="s">
        <v>184</v>
      </c>
      <c r="E100" s="179" t="b">
        <v>1</v>
      </c>
      <c r="F100" s="179" t="s">
        <v>187</v>
      </c>
      <c r="G100" s="179" t="s">
        <v>179</v>
      </c>
      <c r="H100" s="43" t="str">
        <f t="shared" si="2"/>
        <v>Little Stour and Wingham|Lowland|TRUE|600to700|DrainedAr</v>
      </c>
      <c r="I100" s="125">
        <v>7.9169896758465058E-2</v>
      </c>
      <c r="J100" s="47">
        <v>7.2897017734777165</v>
      </c>
      <c r="K100" s="34" t="str">
        <f t="shared" si="1"/>
        <v>Lowland|600to700</v>
      </c>
      <c r="L100" s="44"/>
      <c r="M100" s="44"/>
      <c r="N100" s="47"/>
      <c r="O100" s="35"/>
      <c r="P100" s="130"/>
    </row>
    <row r="101" spans="2:16">
      <c r="B101" s="129"/>
      <c r="C101" s="179" t="s">
        <v>188</v>
      </c>
      <c r="D101" s="179" t="s">
        <v>184</v>
      </c>
      <c r="E101" s="179" t="b">
        <v>0</v>
      </c>
      <c r="F101" s="179" t="s">
        <v>177</v>
      </c>
      <c r="G101" s="179" t="s">
        <v>178</v>
      </c>
      <c r="H101" s="43" t="str">
        <f t="shared" si="2"/>
        <v>Little Stour and Wingham|Lowland|FALSE|700to900|FreeDrain</v>
      </c>
      <c r="I101" s="125">
        <v>6.0619327900353744E-2</v>
      </c>
      <c r="J101" s="47">
        <v>15.012031947926751</v>
      </c>
      <c r="K101" s="34" t="str">
        <f t="shared" si="1"/>
        <v>Lowland|700to900</v>
      </c>
      <c r="L101" s="44">
        <f>AVERAGE(I102:I103,I218)</f>
        <v>0.305446848606094</v>
      </c>
      <c r="M101" s="44">
        <f>AVERAGE(J102:J103,J218)</f>
        <v>12.004171583261339</v>
      </c>
      <c r="N101" s="47"/>
      <c r="O101" s="35"/>
      <c r="P101" s="130"/>
    </row>
    <row r="102" spans="2:16">
      <c r="B102" s="129"/>
      <c r="C102" s="179" t="s">
        <v>188</v>
      </c>
      <c r="D102" s="179" t="s">
        <v>184</v>
      </c>
      <c r="E102" s="179" t="b">
        <v>1</v>
      </c>
      <c r="F102" s="179" t="s">
        <v>177</v>
      </c>
      <c r="G102" s="179" t="s">
        <v>178</v>
      </c>
      <c r="H102" s="43" t="str">
        <f t="shared" si="2"/>
        <v>Little Stour and Wingham|Lowland|TRUE|700to900|FreeDrain</v>
      </c>
      <c r="I102" s="125">
        <v>6.0619268263953023E-2</v>
      </c>
      <c r="J102" s="47">
        <v>14.941042781499743</v>
      </c>
      <c r="K102" s="34" t="str">
        <f t="shared" si="1"/>
        <v>Lowland|700to900</v>
      </c>
      <c r="L102" s="44"/>
      <c r="M102" s="44"/>
      <c r="N102" s="47"/>
      <c r="O102" s="35"/>
      <c r="P102" s="130"/>
    </row>
    <row r="103" spans="2:16">
      <c r="B103" s="129"/>
      <c r="C103" s="179" t="s">
        <v>188</v>
      </c>
      <c r="D103" s="179" t="s">
        <v>184</v>
      </c>
      <c r="E103" s="179" t="b">
        <v>0</v>
      </c>
      <c r="F103" s="179" t="s">
        <v>177</v>
      </c>
      <c r="G103" s="179" t="s">
        <v>179</v>
      </c>
      <c r="H103" s="43" t="str">
        <f t="shared" si="2"/>
        <v>Little Stour and Wingham|Lowland|FALSE|700to900|DrainedAr</v>
      </c>
      <c r="I103" s="125">
        <v>0.15881589149521713</v>
      </c>
      <c r="J103" s="47">
        <v>11.611846450346176</v>
      </c>
      <c r="K103" s="34" t="str">
        <f t="shared" si="1"/>
        <v>Lowland|700to900</v>
      </c>
      <c r="L103" s="44"/>
      <c r="M103" s="44"/>
      <c r="N103" s="47"/>
      <c r="O103" s="35"/>
      <c r="P103" s="130"/>
    </row>
    <row r="104" spans="2:16">
      <c r="B104" s="129"/>
      <c r="C104" s="179" t="s">
        <v>188</v>
      </c>
      <c r="D104" s="179" t="s">
        <v>184</v>
      </c>
      <c r="E104" s="179" t="b">
        <v>1</v>
      </c>
      <c r="F104" s="179" t="s">
        <v>177</v>
      </c>
      <c r="G104" s="179" t="s">
        <v>179</v>
      </c>
      <c r="H104" s="43" t="str">
        <f t="shared" si="2"/>
        <v>Little Stour and Wingham|Lowland|TRUE|700to900|DrainedAr</v>
      </c>
      <c r="I104" s="125">
        <v>0.15881581750594875</v>
      </c>
      <c r="J104" s="47">
        <v>11.557781032772283</v>
      </c>
      <c r="K104" s="34" t="str">
        <f t="shared" si="1"/>
        <v>Lowland|700to900</v>
      </c>
      <c r="L104" s="44"/>
      <c r="M104" s="44"/>
      <c r="N104" s="47"/>
      <c r="O104" s="35"/>
      <c r="P104" s="130"/>
    </row>
    <row r="105" spans="2:16">
      <c r="B105" s="129"/>
      <c r="C105" s="179" t="s">
        <v>188</v>
      </c>
      <c r="D105" s="179" t="s">
        <v>184</v>
      </c>
      <c r="E105" s="179" t="b">
        <v>0</v>
      </c>
      <c r="F105" s="179" t="s">
        <v>189</v>
      </c>
      <c r="G105" s="179" t="s">
        <v>178</v>
      </c>
      <c r="H105" s="43" t="str">
        <f t="shared" si="2"/>
        <v>Little Stour and Wingham|Lowland|FALSE|900to1200|FreeDrain</v>
      </c>
      <c r="I105" s="125">
        <v>0.10036525044493413</v>
      </c>
      <c r="J105" s="47">
        <v>16.094799972735341</v>
      </c>
      <c r="K105" s="34" t="str">
        <f t="shared" si="1"/>
        <v>Lowland|900to1200</v>
      </c>
      <c r="L105" s="44">
        <f>AVERAGE(I106:I107,I219)</f>
        <v>0.36295174242515094</v>
      </c>
      <c r="M105" s="44">
        <f>AVERAGE(J106:J107,J219)</f>
        <v>13.469147635976052</v>
      </c>
      <c r="N105" s="47"/>
      <c r="O105" s="35"/>
      <c r="P105" s="130"/>
    </row>
    <row r="106" spans="2:16">
      <c r="B106" s="129"/>
      <c r="C106" s="179" t="s">
        <v>188</v>
      </c>
      <c r="D106" s="179" t="s">
        <v>184</v>
      </c>
      <c r="E106" s="179" t="b">
        <v>1</v>
      </c>
      <c r="F106" s="179" t="s">
        <v>189</v>
      </c>
      <c r="G106" s="179" t="s">
        <v>178</v>
      </c>
      <c r="H106" s="43" t="str">
        <f t="shared" si="2"/>
        <v>Little Stour and Wingham|Lowland|TRUE|900to1200|FreeDrain</v>
      </c>
      <c r="I106" s="125">
        <v>0.10036517429512525</v>
      </c>
      <c r="J106" s="47">
        <v>16.022437045010864</v>
      </c>
      <c r="K106" s="34" t="str">
        <f t="shared" si="1"/>
        <v>Lowland|900to1200</v>
      </c>
      <c r="L106" s="44"/>
      <c r="M106" s="44"/>
      <c r="N106" s="47"/>
      <c r="O106" s="35"/>
      <c r="P106" s="130"/>
    </row>
    <row r="107" spans="2:16">
      <c r="B107" s="129"/>
      <c r="C107" s="179" t="s">
        <v>188</v>
      </c>
      <c r="D107" s="179" t="s">
        <v>184</v>
      </c>
      <c r="E107" s="179" t="b">
        <v>0</v>
      </c>
      <c r="F107" s="179" t="s">
        <v>189</v>
      </c>
      <c r="G107" s="179" t="s">
        <v>179</v>
      </c>
      <c r="H107" s="43" t="str">
        <f t="shared" si="2"/>
        <v>Little Stour and Wingham|Lowland|FALSE|900to1200|DrainedAr</v>
      </c>
      <c r="I107" s="125">
        <v>0.29160057650065685</v>
      </c>
      <c r="J107" s="47">
        <v>14.941699792841487</v>
      </c>
      <c r="K107" s="34" t="str">
        <f t="shared" si="1"/>
        <v>Lowland|900to1200</v>
      </c>
      <c r="L107" s="44"/>
      <c r="M107" s="44"/>
      <c r="N107" s="47"/>
      <c r="O107" s="35"/>
      <c r="P107" s="130"/>
    </row>
    <row r="108" spans="2:16">
      <c r="B108" s="129"/>
      <c r="C108" s="179" t="s">
        <v>188</v>
      </c>
      <c r="D108" s="179" t="s">
        <v>185</v>
      </c>
      <c r="E108" s="179" t="b">
        <v>1</v>
      </c>
      <c r="F108" s="179" t="s">
        <v>187</v>
      </c>
      <c r="G108" s="179" t="s">
        <v>178</v>
      </c>
      <c r="H108" s="43" t="str">
        <f t="shared" si="2"/>
        <v>Little Stour and Wingham|Mixed|TRUE|600to700|FreeDrain</v>
      </c>
      <c r="I108" s="125">
        <v>4.2625105286700771E-2</v>
      </c>
      <c r="J108" s="47">
        <v>24.620525466751033</v>
      </c>
      <c r="K108" s="34" t="str">
        <f t="shared" si="1"/>
        <v>Mixed|600to700</v>
      </c>
      <c r="L108" s="44">
        <f>AVERAGE(I108,I227:I228)</f>
        <v>0.28970281939077025</v>
      </c>
      <c r="M108" s="44">
        <f>AVERAGE(J108,J227:J228)</f>
        <v>19.227150115655814</v>
      </c>
      <c r="N108" s="47"/>
      <c r="O108" s="35"/>
      <c r="P108" s="130"/>
    </row>
    <row r="109" spans="2:16">
      <c r="B109" s="129"/>
      <c r="C109" s="179" t="s">
        <v>188</v>
      </c>
      <c r="D109" s="179" t="s">
        <v>185</v>
      </c>
      <c r="E109" s="179" t="b">
        <v>0</v>
      </c>
      <c r="F109" s="179" t="s">
        <v>177</v>
      </c>
      <c r="G109" s="179" t="s">
        <v>178</v>
      </c>
      <c r="H109" s="43" t="str">
        <f t="shared" si="2"/>
        <v>Little Stour and Wingham|Mixed|FALSE|700to900|FreeDrain</v>
      </c>
      <c r="I109" s="125">
        <v>9.2167459934152429E-2</v>
      </c>
      <c r="J109" s="47">
        <v>30.782896047699289</v>
      </c>
      <c r="K109" s="34" t="str">
        <f t="shared" si="1"/>
        <v>Mixed|700to900</v>
      </c>
      <c r="L109" s="44">
        <f>AVERAGE(I110:I111,I234)</f>
        <v>0.53327388080767368</v>
      </c>
      <c r="M109" s="44">
        <f>AVERAGE(J110:J111,J234)</f>
        <v>24.244674069027031</v>
      </c>
      <c r="N109" s="47"/>
      <c r="O109" s="35"/>
      <c r="P109" s="130"/>
    </row>
    <row r="110" spans="2:16">
      <c r="B110" s="129"/>
      <c r="C110" s="179" t="s">
        <v>188</v>
      </c>
      <c r="D110" s="179" t="s">
        <v>185</v>
      </c>
      <c r="E110" s="179" t="b">
        <v>1</v>
      </c>
      <c r="F110" s="179" t="s">
        <v>177</v>
      </c>
      <c r="G110" s="179" t="s">
        <v>178</v>
      </c>
      <c r="H110" s="43" t="str">
        <f t="shared" si="2"/>
        <v>Little Stour and Wingham|Mixed|TRUE|700to900|FreeDrain</v>
      </c>
      <c r="I110" s="125">
        <v>9.2000916952192188E-2</v>
      </c>
      <c r="J110" s="47">
        <v>30.621072484214473</v>
      </c>
      <c r="K110" s="34" t="str">
        <f t="shared" si="1"/>
        <v>Mixed|700to900</v>
      </c>
      <c r="L110" s="44"/>
      <c r="M110" s="44"/>
      <c r="N110" s="47"/>
      <c r="O110" s="35"/>
      <c r="P110" s="130"/>
    </row>
    <row r="111" spans="2:16">
      <c r="B111" s="129"/>
      <c r="C111" s="179" t="s">
        <v>188</v>
      </c>
      <c r="D111" s="179" t="s">
        <v>185</v>
      </c>
      <c r="E111" s="179" t="b">
        <v>0</v>
      </c>
      <c r="F111" s="179" t="s">
        <v>177</v>
      </c>
      <c r="G111" s="179" t="s">
        <v>179</v>
      </c>
      <c r="H111" s="43" t="str">
        <f t="shared" si="2"/>
        <v>Little Stour and Wingham|Mixed|FALSE|700to900|DrainedAr</v>
      </c>
      <c r="I111" s="125">
        <v>0.55625030271470721</v>
      </c>
      <c r="J111" s="47">
        <v>23.494967164972593</v>
      </c>
      <c r="K111" s="34" t="str">
        <f t="shared" si="1"/>
        <v>Mixed|700to900</v>
      </c>
      <c r="L111" s="44"/>
      <c r="M111" s="44"/>
      <c r="N111" s="47"/>
      <c r="O111" s="35"/>
      <c r="P111" s="130"/>
    </row>
    <row r="112" spans="2:16">
      <c r="B112" s="129"/>
      <c r="C112" s="179" t="s">
        <v>188</v>
      </c>
      <c r="D112" s="179" t="s">
        <v>185</v>
      </c>
      <c r="E112" s="179" t="b">
        <v>1</v>
      </c>
      <c r="F112" s="179" t="s">
        <v>177</v>
      </c>
      <c r="G112" s="179" t="s">
        <v>179</v>
      </c>
      <c r="H112" s="43" t="str">
        <f t="shared" si="2"/>
        <v>Little Stour and Wingham|Mixed|TRUE|700to900|DrainedAr</v>
      </c>
      <c r="I112" s="125">
        <v>0.55446740345075984</v>
      </c>
      <c r="J112" s="47">
        <v>23.267563021720402</v>
      </c>
      <c r="K112" s="34" t="str">
        <f t="shared" si="1"/>
        <v>Mixed|700to900</v>
      </c>
      <c r="L112" s="44"/>
      <c r="M112" s="44"/>
      <c r="N112" s="47"/>
      <c r="O112" s="35"/>
      <c r="P112" s="130"/>
    </row>
    <row r="113" spans="2:16">
      <c r="B113" s="129"/>
      <c r="C113" s="179" t="s">
        <v>188</v>
      </c>
      <c r="D113" s="179" t="s">
        <v>183</v>
      </c>
      <c r="E113" s="179" t="b">
        <v>1</v>
      </c>
      <c r="F113" s="179" t="s">
        <v>177</v>
      </c>
      <c r="G113" s="179" t="s">
        <v>178</v>
      </c>
      <c r="H113" s="43" t="str">
        <f t="shared" si="2"/>
        <v>Little Stour and Wingham|Poultry|TRUE|700to900|FreeDrain</v>
      </c>
      <c r="I113" s="125">
        <v>8.3899715255578364E-2</v>
      </c>
      <c r="J113" s="47">
        <v>64.674707128695033</v>
      </c>
      <c r="K113" s="34" t="str">
        <f t="shared" si="1"/>
        <v>Poultry|700to900</v>
      </c>
      <c r="L113" s="44">
        <f>AVERAGE(I114:I115,I202)</f>
        <v>0.46292426918653468</v>
      </c>
      <c r="M113" s="44">
        <f>AVERAGE(J114:J115,J202)</f>
        <v>49.016856174208812</v>
      </c>
      <c r="N113" s="47"/>
      <c r="O113" s="35"/>
      <c r="P113" s="130"/>
    </row>
    <row r="114" spans="2:16">
      <c r="B114" s="129"/>
      <c r="C114" s="179" t="s">
        <v>188</v>
      </c>
      <c r="D114" s="179" t="s">
        <v>183</v>
      </c>
      <c r="E114" s="179" t="b">
        <v>0</v>
      </c>
      <c r="F114" s="179" t="s">
        <v>177</v>
      </c>
      <c r="G114" s="179" t="s">
        <v>178</v>
      </c>
      <c r="H114" s="43" t="str">
        <f t="shared" si="2"/>
        <v>Little Stour and Wingham|Poultry|FALSE|700to900|FreeDrain</v>
      </c>
      <c r="I114" s="125">
        <v>8.4705064027573856E-2</v>
      </c>
      <c r="J114" s="47">
        <v>64.475726521872701</v>
      </c>
      <c r="K114" s="34" t="str">
        <f t="shared" si="1"/>
        <v>Poultry|700to900</v>
      </c>
      <c r="L114" s="44"/>
      <c r="M114" s="44"/>
      <c r="N114" s="47"/>
      <c r="O114" s="35"/>
      <c r="P114" s="130"/>
    </row>
    <row r="115" spans="2:16">
      <c r="B115" s="129"/>
      <c r="C115" s="179" t="s">
        <v>188</v>
      </c>
      <c r="D115" s="179" t="s">
        <v>183</v>
      </c>
      <c r="E115" s="179" t="b">
        <v>0</v>
      </c>
      <c r="F115" s="179" t="s">
        <v>177</v>
      </c>
      <c r="G115" s="179" t="s">
        <v>179</v>
      </c>
      <c r="H115" s="43" t="str">
        <f t="shared" si="2"/>
        <v>Little Stour and Wingham|Poultry|FALSE|700to900|DrainedAr</v>
      </c>
      <c r="I115" s="125">
        <v>0.50019702734599369</v>
      </c>
      <c r="J115" s="47">
        <v>44.968286065107272</v>
      </c>
      <c r="K115" s="34" t="str">
        <f t="shared" si="1"/>
        <v>Poultry|700to900</v>
      </c>
      <c r="L115" s="44"/>
      <c r="M115" s="44"/>
      <c r="N115" s="47"/>
      <c r="O115" s="35"/>
      <c r="P115" s="130"/>
    </row>
    <row r="116" spans="2:16">
      <c r="B116" s="129"/>
      <c r="C116" s="179" t="s">
        <v>188</v>
      </c>
      <c r="D116" s="179" t="s">
        <v>183</v>
      </c>
      <c r="E116" s="179" t="b">
        <v>1</v>
      </c>
      <c r="F116" s="179" t="s">
        <v>177</v>
      </c>
      <c r="G116" s="179" t="s">
        <v>179</v>
      </c>
      <c r="H116" s="43" t="str">
        <f t="shared" si="2"/>
        <v>Little Stour and Wingham|Poultry|TRUE|700to900|DrainedAr</v>
      </c>
      <c r="I116" s="125">
        <v>0.4918150978216877</v>
      </c>
      <c r="J116" s="47">
        <v>43.622245486632259</v>
      </c>
      <c r="K116" s="34" t="str">
        <f t="shared" si="1"/>
        <v>Poultry|700to900</v>
      </c>
      <c r="L116" s="44"/>
      <c r="M116" s="44"/>
      <c r="N116" s="47"/>
      <c r="O116" s="35"/>
      <c r="P116" s="130"/>
    </row>
    <row r="117" spans="2:16">
      <c r="B117" s="129"/>
      <c r="C117" s="179" t="s">
        <v>190</v>
      </c>
      <c r="D117" s="179" t="s">
        <v>176</v>
      </c>
      <c r="E117" s="179" t="b">
        <v>0</v>
      </c>
      <c r="F117" s="179" t="s">
        <v>191</v>
      </c>
      <c r="G117" s="179" t="s">
        <v>178</v>
      </c>
      <c r="H117" s="43" t="str">
        <f t="shared" si="2"/>
        <v>Stour Marshes|Cereals|FALSE|Under600|FreeDrain</v>
      </c>
      <c r="I117" s="125">
        <v>4.769693974538948E-2</v>
      </c>
      <c r="J117" s="47">
        <v>19.920952731059661</v>
      </c>
      <c r="K117" s="34" t="str">
        <f t="shared" ref="K117:K142" si="3">D117&amp;"|"&amp;F117</f>
        <v>Cereals|Under600</v>
      </c>
      <c r="L117" s="44">
        <f>AVERAGE(I117:I119)</f>
        <v>0.22620032906234555</v>
      </c>
      <c r="M117" s="44">
        <f>AVERAGE(J117:J119)</f>
        <v>18.472665763501585</v>
      </c>
      <c r="N117" s="47"/>
      <c r="O117" s="35"/>
      <c r="P117" s="130"/>
    </row>
    <row r="118" spans="2:16">
      <c r="B118" s="129"/>
      <c r="C118" s="179" t="s">
        <v>190</v>
      </c>
      <c r="D118" s="179" t="s">
        <v>176</v>
      </c>
      <c r="E118" s="179" t="b">
        <v>0</v>
      </c>
      <c r="F118" s="179" t="s">
        <v>191</v>
      </c>
      <c r="G118" s="179" t="s">
        <v>179</v>
      </c>
      <c r="H118" s="43" t="str">
        <f t="shared" si="2"/>
        <v>Stour Marshes|Cereals|FALSE|Under600|DrainedAr</v>
      </c>
      <c r="I118" s="125">
        <v>0.2477353907625291</v>
      </c>
      <c r="J118" s="47">
        <v>16.6762317713134</v>
      </c>
      <c r="K118" s="34" t="str">
        <f t="shared" si="3"/>
        <v>Cereals|Under600</v>
      </c>
      <c r="L118" s="44"/>
      <c r="M118" s="44"/>
      <c r="N118" s="47"/>
      <c r="O118" s="35"/>
      <c r="P118" s="130"/>
    </row>
    <row r="119" spans="2:16">
      <c r="B119" s="129"/>
      <c r="C119" s="179" t="s">
        <v>190</v>
      </c>
      <c r="D119" s="179" t="s">
        <v>176</v>
      </c>
      <c r="E119" s="179" t="b">
        <v>0</v>
      </c>
      <c r="F119" s="179" t="s">
        <v>191</v>
      </c>
      <c r="G119" s="179" t="s">
        <v>180</v>
      </c>
      <c r="H119" s="43" t="str">
        <f t="shared" si="2"/>
        <v>Stour Marshes|Cereals|FALSE|Under600|DrainedArGr</v>
      </c>
      <c r="I119" s="125">
        <v>0.38316865667911804</v>
      </c>
      <c r="J119" s="47">
        <v>18.82081278813169</v>
      </c>
      <c r="K119" s="34" t="str">
        <f t="shared" si="3"/>
        <v>Cereals|Under600</v>
      </c>
      <c r="L119" s="44"/>
      <c r="M119" s="44"/>
      <c r="N119" s="47"/>
      <c r="O119" s="35"/>
      <c r="P119" s="130"/>
    </row>
    <row r="120" spans="2:16">
      <c r="B120" s="129"/>
      <c r="C120" s="179" t="s">
        <v>190</v>
      </c>
      <c r="D120" s="179" t="s">
        <v>176</v>
      </c>
      <c r="E120" s="179" t="b">
        <v>0</v>
      </c>
      <c r="F120" s="179" t="s">
        <v>187</v>
      </c>
      <c r="G120" s="179" t="s">
        <v>178</v>
      </c>
      <c r="H120" s="43" t="str">
        <f t="shared" si="2"/>
        <v>Stour Marshes|Cereals|FALSE|600to700|FreeDrain</v>
      </c>
      <c r="I120" s="125">
        <v>6.9580180512442219E-2</v>
      </c>
      <c r="J120" s="47">
        <v>26.441242069353077</v>
      </c>
      <c r="K120" s="34" t="str">
        <f t="shared" si="3"/>
        <v>Cereals|600to700</v>
      </c>
      <c r="L120" s="44">
        <f>AVERAGE(I121:I123)</f>
        <v>0.34296906932140009</v>
      </c>
      <c r="M120" s="44">
        <f>AVERAGE(J121:J123)</f>
        <v>21.984569086035311</v>
      </c>
      <c r="N120" s="47"/>
      <c r="O120" s="35"/>
      <c r="P120" s="130"/>
    </row>
    <row r="121" spans="2:16">
      <c r="B121" s="129"/>
      <c r="C121" s="179" t="s">
        <v>190</v>
      </c>
      <c r="D121" s="179" t="s">
        <v>176</v>
      </c>
      <c r="E121" s="179" t="b">
        <v>1</v>
      </c>
      <c r="F121" s="179" t="s">
        <v>187</v>
      </c>
      <c r="G121" s="179" t="s">
        <v>178</v>
      </c>
      <c r="H121" s="43" t="str">
        <f t="shared" si="2"/>
        <v>Stour Marshes|Cereals|TRUE|600to700|FreeDrain</v>
      </c>
      <c r="I121" s="125">
        <v>6.9572199854986833E-2</v>
      </c>
      <c r="J121" s="47">
        <v>26.358069058837938</v>
      </c>
      <c r="K121" s="34" t="str">
        <f t="shared" si="3"/>
        <v>Cereals|600to700</v>
      </c>
      <c r="L121" s="44"/>
      <c r="M121" s="44"/>
      <c r="N121" s="47"/>
      <c r="O121" s="35"/>
      <c r="P121" s="130"/>
    </row>
    <row r="122" spans="2:16">
      <c r="B122" s="129"/>
      <c r="C122" s="179" t="s">
        <v>190</v>
      </c>
      <c r="D122" s="179" t="s">
        <v>176</v>
      </c>
      <c r="E122" s="179" t="b">
        <v>0</v>
      </c>
      <c r="F122" s="179" t="s">
        <v>187</v>
      </c>
      <c r="G122" s="179" t="s">
        <v>179</v>
      </c>
      <c r="H122" s="43" t="str">
        <f t="shared" si="2"/>
        <v>Stour Marshes|Cereals|FALSE|600to700|DrainedAr</v>
      </c>
      <c r="I122" s="125">
        <v>0.36210882985911885</v>
      </c>
      <c r="J122" s="47">
        <v>19.2417534577447</v>
      </c>
      <c r="K122" s="34" t="str">
        <f t="shared" si="3"/>
        <v>Cereals|600to700</v>
      </c>
      <c r="L122" s="44"/>
      <c r="M122" s="44"/>
      <c r="N122" s="47"/>
      <c r="O122" s="35"/>
      <c r="P122" s="130"/>
    </row>
    <row r="123" spans="2:16">
      <c r="B123" s="129"/>
      <c r="C123" s="179" t="s">
        <v>190</v>
      </c>
      <c r="D123" s="179" t="s">
        <v>176</v>
      </c>
      <c r="E123" s="179" t="b">
        <v>0</v>
      </c>
      <c r="F123" s="179" t="s">
        <v>187</v>
      </c>
      <c r="G123" s="179" t="s">
        <v>180</v>
      </c>
      <c r="H123" s="43" t="str">
        <f t="shared" si="2"/>
        <v>Stour Marshes|Cereals|FALSE|600to700|DrainedArGr</v>
      </c>
      <c r="I123" s="125">
        <v>0.59722617825009472</v>
      </c>
      <c r="J123" s="47">
        <v>20.353884741523306</v>
      </c>
      <c r="K123" s="34" t="str">
        <f t="shared" si="3"/>
        <v>Cereals|600to700</v>
      </c>
      <c r="L123" s="44"/>
      <c r="M123" s="44"/>
      <c r="N123" s="47"/>
      <c r="O123" s="35"/>
      <c r="P123" s="130"/>
    </row>
    <row r="124" spans="2:16">
      <c r="B124" s="129"/>
      <c r="C124" s="179" t="s">
        <v>190</v>
      </c>
      <c r="D124" s="179" t="s">
        <v>176</v>
      </c>
      <c r="E124" s="179" t="b">
        <v>0</v>
      </c>
      <c r="F124" s="179" t="s">
        <v>177</v>
      </c>
      <c r="G124" s="179" t="s">
        <v>180</v>
      </c>
      <c r="H124" s="43" t="str">
        <f t="shared" si="2"/>
        <v>Stour Marshes|Cereals|FALSE|700to900|DrainedArGr</v>
      </c>
      <c r="I124" s="125">
        <v>1.0446601965652809</v>
      </c>
      <c r="J124" s="47">
        <v>22.211576333471015</v>
      </c>
      <c r="K124" s="34" t="str">
        <f t="shared" si="3"/>
        <v>Cereals|700to900</v>
      </c>
      <c r="L124" s="44">
        <f>AVERAGE(I124,I153:I154)</f>
        <v>0.63039902642590551</v>
      </c>
      <c r="M124" s="44">
        <f>AVERAGE(J124,J153:J154)</f>
        <v>25.608732995427776</v>
      </c>
      <c r="N124" s="47"/>
      <c r="O124" s="35"/>
      <c r="P124" s="130"/>
    </row>
    <row r="125" spans="2:16">
      <c r="B125" s="129"/>
      <c r="C125" s="179" t="s">
        <v>190</v>
      </c>
      <c r="D125" s="179" t="s">
        <v>176</v>
      </c>
      <c r="E125" s="179" t="b">
        <v>0</v>
      </c>
      <c r="F125" s="179" t="s">
        <v>192</v>
      </c>
      <c r="G125" s="179" t="s">
        <v>178</v>
      </c>
      <c r="H125" s="43" t="str">
        <f t="shared" si="2"/>
        <v>Stour Marshes|Cereals|FALSE|Over1500|FreeDrain</v>
      </c>
      <c r="I125" s="125">
        <v>1.0592618680999542</v>
      </c>
      <c r="J125" s="47">
        <v>34.919330034878712</v>
      </c>
      <c r="K125" s="34" t="str">
        <f t="shared" si="3"/>
        <v>Cereals|Over1500</v>
      </c>
      <c r="L125" s="44">
        <f>AVERAGE(I125)</f>
        <v>1.0592618680999542</v>
      </c>
      <c r="M125" s="44">
        <f>AVERAGE(J125)</f>
        <v>34.919330034878712</v>
      </c>
      <c r="N125" s="47"/>
      <c r="O125" s="35"/>
      <c r="P125" s="130"/>
    </row>
    <row r="126" spans="2:16">
      <c r="B126" s="129"/>
      <c r="C126" s="179" t="s">
        <v>190</v>
      </c>
      <c r="D126" s="179" t="s">
        <v>176</v>
      </c>
      <c r="E126" s="179" t="b">
        <v>1</v>
      </c>
      <c r="F126" s="179" t="s">
        <v>192</v>
      </c>
      <c r="G126" s="179" t="s">
        <v>178</v>
      </c>
      <c r="H126" s="43" t="str">
        <f t="shared" si="2"/>
        <v>Stour Marshes|Cereals|TRUE|Over1500|FreeDrain</v>
      </c>
      <c r="I126" s="125">
        <v>1.059232744841107</v>
      </c>
      <c r="J126" s="47">
        <v>34.816493128191567</v>
      </c>
      <c r="K126" s="34" t="str">
        <f t="shared" si="3"/>
        <v>Cereals|Over1500</v>
      </c>
      <c r="L126" s="44"/>
      <c r="M126" s="44"/>
      <c r="N126" s="47"/>
      <c r="O126" s="35"/>
      <c r="P126" s="130"/>
    </row>
    <row r="127" spans="2:16">
      <c r="B127" s="129"/>
      <c r="C127" s="179" t="s">
        <v>190</v>
      </c>
      <c r="D127" s="179" t="s">
        <v>181</v>
      </c>
      <c r="E127" s="179" t="b">
        <v>0</v>
      </c>
      <c r="F127" s="179" t="s">
        <v>191</v>
      </c>
      <c r="G127" s="179" t="s">
        <v>179</v>
      </c>
      <c r="H127" s="43" t="str">
        <f t="shared" si="2"/>
        <v>Stour Marshes|General|FALSE|Under600|DrainedAr</v>
      </c>
      <c r="I127" s="125">
        <v>0.21586438646470824</v>
      </c>
      <c r="J127" s="47">
        <v>15.74601880788355</v>
      </c>
      <c r="K127" s="34" t="str">
        <f t="shared" si="3"/>
        <v>General|Under600</v>
      </c>
      <c r="L127" s="44">
        <f>AVERAGE(I127,I163)</f>
        <v>0.25789949432512682</v>
      </c>
      <c r="M127" s="44">
        <f>AVERAGE(J127,J163)</f>
        <v>15.41277023463358</v>
      </c>
      <c r="N127" s="47"/>
      <c r="O127" s="35"/>
      <c r="P127" s="130"/>
    </row>
    <row r="128" spans="2:16">
      <c r="B128" s="129"/>
      <c r="C128" s="179" t="s">
        <v>190</v>
      </c>
      <c r="D128" s="179" t="s">
        <v>181</v>
      </c>
      <c r="E128" s="179" t="b">
        <v>0</v>
      </c>
      <c r="F128" s="179" t="s">
        <v>187</v>
      </c>
      <c r="G128" s="179" t="s">
        <v>178</v>
      </c>
      <c r="H128" s="43" t="str">
        <f t="shared" si="2"/>
        <v>Stour Marshes|General|FALSE|600to700|FreeDrain</v>
      </c>
      <c r="I128" s="125">
        <v>6.1177279435710982E-2</v>
      </c>
      <c r="J128" s="47">
        <v>25.792715728037191</v>
      </c>
      <c r="K128" s="34" t="str">
        <f t="shared" si="3"/>
        <v>General|600to700</v>
      </c>
      <c r="L128" s="44">
        <f>AVERAGE(I129:I131)</f>
        <v>0.29791297987581222</v>
      </c>
      <c r="M128" s="44">
        <f>AVERAGE(J129:J131)</f>
        <v>20.806591596025026</v>
      </c>
      <c r="N128" s="47"/>
      <c r="O128" s="35"/>
      <c r="P128" s="130"/>
    </row>
    <row r="129" spans="2:16">
      <c r="B129" s="129"/>
      <c r="C129" s="179" t="s">
        <v>190</v>
      </c>
      <c r="D129" s="179" t="s">
        <v>181</v>
      </c>
      <c r="E129" s="179" t="b">
        <v>1</v>
      </c>
      <c r="F129" s="179" t="s">
        <v>187</v>
      </c>
      <c r="G129" s="179" t="s">
        <v>178</v>
      </c>
      <c r="H129" s="43" t="str">
        <f t="shared" si="2"/>
        <v>Stour Marshes|General|TRUE|600to700|FreeDrain</v>
      </c>
      <c r="I129" s="125">
        <v>6.1177279435710982E-2</v>
      </c>
      <c r="J129" s="47">
        <v>25.717747031100288</v>
      </c>
      <c r="K129" s="34" t="str">
        <f t="shared" si="3"/>
        <v>General|600to700</v>
      </c>
      <c r="L129" s="44"/>
      <c r="M129" s="44"/>
      <c r="N129" s="47"/>
      <c r="O129" s="35"/>
      <c r="P129" s="130"/>
    </row>
    <row r="130" spans="2:16">
      <c r="B130" s="129"/>
      <c r="C130" s="179" t="s">
        <v>190</v>
      </c>
      <c r="D130" s="179" t="s">
        <v>181</v>
      </c>
      <c r="E130" s="179" t="b">
        <v>0</v>
      </c>
      <c r="F130" s="179" t="s">
        <v>187</v>
      </c>
      <c r="G130" s="179" t="s">
        <v>179</v>
      </c>
      <c r="H130" s="43" t="str">
        <f t="shared" si="2"/>
        <v>Stour Marshes|General|FALSE|600to700|DrainedAr</v>
      </c>
      <c r="I130" s="125">
        <v>0.30768908223892966</v>
      </c>
      <c r="J130" s="47">
        <v>18.041577613383662</v>
      </c>
      <c r="K130" s="34" t="str">
        <f t="shared" si="3"/>
        <v>General|600to700</v>
      </c>
      <c r="L130" s="44"/>
      <c r="M130" s="44"/>
      <c r="N130" s="47"/>
      <c r="O130" s="35"/>
      <c r="P130" s="130"/>
    </row>
    <row r="131" spans="2:16">
      <c r="B131" s="129"/>
      <c r="C131" s="179" t="s">
        <v>190</v>
      </c>
      <c r="D131" s="179" t="s">
        <v>181</v>
      </c>
      <c r="E131" s="179" t="b">
        <v>0</v>
      </c>
      <c r="F131" s="179" t="s">
        <v>187</v>
      </c>
      <c r="G131" s="179" t="s">
        <v>180</v>
      </c>
      <c r="H131" s="43" t="str">
        <f t="shared" si="2"/>
        <v>Stour Marshes|General|FALSE|600to700|DrainedArGr</v>
      </c>
      <c r="I131" s="125">
        <v>0.52487257795279596</v>
      </c>
      <c r="J131" s="47">
        <v>18.660450143591124</v>
      </c>
      <c r="K131" s="34" t="str">
        <f t="shared" si="3"/>
        <v>General|600to700</v>
      </c>
      <c r="L131" s="44"/>
      <c r="M131" s="44"/>
      <c r="N131" s="47"/>
      <c r="O131" s="35"/>
      <c r="P131" s="130"/>
    </row>
    <row r="132" spans="2:16">
      <c r="B132" s="129"/>
      <c r="C132" s="179" t="s">
        <v>190</v>
      </c>
      <c r="D132" s="179" t="s">
        <v>181</v>
      </c>
      <c r="E132" s="179" t="b">
        <v>0</v>
      </c>
      <c r="F132" s="179" t="s">
        <v>177</v>
      </c>
      <c r="G132" s="179" t="s">
        <v>180</v>
      </c>
      <c r="H132" s="43" t="str">
        <f t="shared" si="2"/>
        <v>Stour Marshes|General|FALSE|700to900|DrainedArGr</v>
      </c>
      <c r="I132" s="125">
        <v>0.90720902512317192</v>
      </c>
      <c r="J132" s="47">
        <v>19.969240888714147</v>
      </c>
      <c r="K132" s="34" t="str">
        <f t="shared" si="3"/>
        <v>General|700to900</v>
      </c>
      <c r="L132" s="44">
        <f>AVERAGE(I132,I171:I172)</f>
        <v>0.52191229374816051</v>
      </c>
      <c r="M132" s="44">
        <f>AVERAGE(J132,J171:J172)</f>
        <v>21.827957900172237</v>
      </c>
      <c r="N132" s="47"/>
      <c r="O132" s="35"/>
      <c r="P132" s="130"/>
    </row>
    <row r="133" spans="2:16">
      <c r="B133" s="129"/>
      <c r="C133" s="179" t="s">
        <v>190</v>
      </c>
      <c r="D133" s="179" t="s">
        <v>182</v>
      </c>
      <c r="E133" s="179" t="b">
        <v>0</v>
      </c>
      <c r="F133" s="179" t="s">
        <v>191</v>
      </c>
      <c r="G133" s="179" t="s">
        <v>178</v>
      </c>
      <c r="H133" s="43" t="str">
        <f t="shared" si="2"/>
        <v>Stour Marshes|Horticulture|FALSE|Under600|FreeDrain</v>
      </c>
      <c r="I133" s="125">
        <v>2.4718157363063348E-2</v>
      </c>
      <c r="J133" s="47">
        <v>9.6900567638332227</v>
      </c>
      <c r="K133" s="34" t="str">
        <f t="shared" si="3"/>
        <v>Horticulture|Under600</v>
      </c>
      <c r="L133" s="44">
        <f>AVERAGE(I133,I178)</f>
        <v>8.3801693826364737E-2</v>
      </c>
      <c r="M133" s="44">
        <f>AVERAGE(J133,J178)</f>
        <v>8.9659425483553612</v>
      </c>
      <c r="N133" s="47"/>
      <c r="O133" s="35"/>
      <c r="P133" s="130"/>
    </row>
    <row r="134" spans="2:16">
      <c r="B134" s="129"/>
      <c r="C134" s="179" t="s">
        <v>190</v>
      </c>
      <c r="D134" s="179" t="s">
        <v>182</v>
      </c>
      <c r="E134" s="179" t="b">
        <v>0</v>
      </c>
      <c r="F134" s="179" t="s">
        <v>187</v>
      </c>
      <c r="G134" s="179" t="s">
        <v>178</v>
      </c>
      <c r="H134" s="43" t="str">
        <f t="shared" si="2"/>
        <v>Stour Marshes|Horticulture|FALSE|600to700|FreeDrain</v>
      </c>
      <c r="I134" s="125">
        <v>3.6497761028212512E-2</v>
      </c>
      <c r="J134" s="47">
        <v>12.683900549049158</v>
      </c>
      <c r="K134" s="34" t="str">
        <f t="shared" si="3"/>
        <v>Horticulture|600to700</v>
      </c>
      <c r="L134" s="44">
        <f>AVERAGE(I134:I136)</f>
        <v>0.19361318453396656</v>
      </c>
      <c r="M134" s="44">
        <f>AVERAGE(J134:J136)</f>
        <v>10.196074361836601</v>
      </c>
      <c r="N134" s="47"/>
      <c r="O134" s="35"/>
      <c r="P134" s="130"/>
    </row>
    <row r="135" spans="2:16">
      <c r="B135" s="129"/>
      <c r="C135" s="179" t="s">
        <v>190</v>
      </c>
      <c r="D135" s="179" t="s">
        <v>182</v>
      </c>
      <c r="E135" s="179" t="b">
        <v>0</v>
      </c>
      <c r="F135" s="179" t="s">
        <v>187</v>
      </c>
      <c r="G135" s="179" t="s">
        <v>179</v>
      </c>
      <c r="H135" s="43" t="str">
        <f t="shared" si="2"/>
        <v>Stour Marshes|Horticulture|FALSE|600to700|DrainedAr</v>
      </c>
      <c r="I135" s="125">
        <v>0.20336843693334164</v>
      </c>
      <c r="J135" s="47">
        <v>8.8520659372096553</v>
      </c>
      <c r="K135" s="34" t="str">
        <f t="shared" si="3"/>
        <v>Horticulture|600to700</v>
      </c>
      <c r="L135" s="44"/>
      <c r="M135" s="44"/>
      <c r="N135" s="47"/>
      <c r="O135" s="35"/>
      <c r="P135" s="130"/>
    </row>
    <row r="136" spans="2:16">
      <c r="B136" s="129"/>
      <c r="C136" s="179" t="s">
        <v>190</v>
      </c>
      <c r="D136" s="179" t="s">
        <v>182</v>
      </c>
      <c r="E136" s="179" t="b">
        <v>0</v>
      </c>
      <c r="F136" s="179" t="s">
        <v>187</v>
      </c>
      <c r="G136" s="179" t="s">
        <v>180</v>
      </c>
      <c r="H136" s="43" t="str">
        <f t="shared" si="2"/>
        <v>Stour Marshes|Horticulture|FALSE|600to700|DrainedArGr</v>
      </c>
      <c r="I136" s="125">
        <v>0.34097335564034553</v>
      </c>
      <c r="J136" s="47">
        <v>9.0522565992509882</v>
      </c>
      <c r="K136" s="34" t="str">
        <f t="shared" si="3"/>
        <v>Horticulture|600to700</v>
      </c>
      <c r="L136" s="44"/>
      <c r="M136" s="44"/>
      <c r="N136" s="47"/>
      <c r="O136" s="35"/>
      <c r="P136" s="130"/>
    </row>
    <row r="137" spans="2:16">
      <c r="B137" s="129"/>
      <c r="C137" s="179" t="s">
        <v>190</v>
      </c>
      <c r="D137" s="179" t="s">
        <v>184</v>
      </c>
      <c r="E137" s="179" t="b">
        <v>0</v>
      </c>
      <c r="F137" s="179" t="s">
        <v>187</v>
      </c>
      <c r="G137" s="179" t="s">
        <v>178</v>
      </c>
      <c r="H137" s="43" t="str">
        <f t="shared" si="2"/>
        <v>Stour Marshes|Lowland|FALSE|600to700|FreeDrain</v>
      </c>
      <c r="I137" s="125">
        <v>9.8681369193176549E-2</v>
      </c>
      <c r="J137" s="47">
        <v>16.307183689209999</v>
      </c>
      <c r="K137" s="34" t="str">
        <f t="shared" si="3"/>
        <v>Lowland|600to700</v>
      </c>
      <c r="L137" s="44">
        <f>AVERAGE(I137:I139)</f>
        <v>0.25782959742997413</v>
      </c>
      <c r="M137" s="44">
        <f>AVERAGE(J137:J139)</f>
        <v>12.793535395645032</v>
      </c>
      <c r="N137" s="47"/>
      <c r="O137" s="35"/>
      <c r="P137" s="130"/>
    </row>
    <row r="138" spans="2:16">
      <c r="B138" s="129"/>
      <c r="C138" s="179" t="s">
        <v>190</v>
      </c>
      <c r="D138" s="179" t="s">
        <v>184</v>
      </c>
      <c r="E138" s="179" t="b">
        <v>0</v>
      </c>
      <c r="F138" s="179" t="s">
        <v>187</v>
      </c>
      <c r="G138" s="179" t="s">
        <v>179</v>
      </c>
      <c r="H138" s="43" t="str">
        <f t="shared" si="2"/>
        <v>Stour Marshes|Lowland|FALSE|600to700|DrainedAr</v>
      </c>
      <c r="I138" s="125">
        <v>0.17969583107982021</v>
      </c>
      <c r="J138" s="47">
        <v>11.298434868061435</v>
      </c>
      <c r="K138" s="34" t="str">
        <f t="shared" si="3"/>
        <v>Lowland|600to700</v>
      </c>
      <c r="L138" s="44"/>
      <c r="M138" s="44"/>
      <c r="N138" s="47"/>
      <c r="O138" s="35"/>
      <c r="P138" s="130"/>
    </row>
    <row r="139" spans="2:16">
      <c r="B139" s="129"/>
      <c r="C139" s="179" t="s">
        <v>190</v>
      </c>
      <c r="D139" s="179" t="s">
        <v>184</v>
      </c>
      <c r="E139" s="179" t="b">
        <v>0</v>
      </c>
      <c r="F139" s="179" t="s">
        <v>187</v>
      </c>
      <c r="G139" s="179" t="s">
        <v>180</v>
      </c>
      <c r="H139" s="43" t="str">
        <f t="shared" si="2"/>
        <v>Stour Marshes|Lowland|FALSE|600to700|DrainedArGr</v>
      </c>
      <c r="I139" s="125">
        <v>0.49511159201692567</v>
      </c>
      <c r="J139" s="47">
        <v>10.774987629663665</v>
      </c>
      <c r="K139" s="34" t="str">
        <f t="shared" si="3"/>
        <v>Lowland|600to700</v>
      </c>
      <c r="L139" s="44"/>
      <c r="M139" s="44"/>
      <c r="N139" s="47"/>
      <c r="O139" s="35"/>
      <c r="P139" s="130"/>
    </row>
    <row r="140" spans="2:16">
      <c r="B140" s="129"/>
      <c r="C140" s="179" t="s">
        <v>190</v>
      </c>
      <c r="D140" s="179" t="s">
        <v>185</v>
      </c>
      <c r="E140" s="179" t="b">
        <v>0</v>
      </c>
      <c r="F140" s="179" t="s">
        <v>191</v>
      </c>
      <c r="G140" s="179" t="s">
        <v>178</v>
      </c>
      <c r="H140" s="43" t="str">
        <f t="shared" si="2"/>
        <v>Stour Marshes|Mixed|FALSE|Under600|FreeDrain</v>
      </c>
      <c r="I140" s="125">
        <v>6.7814889701048625E-2</v>
      </c>
      <c r="J140" s="47">
        <v>19.899424843904473</v>
      </c>
      <c r="K140" s="34" t="str">
        <f t="shared" si="3"/>
        <v>Mixed|Under600</v>
      </c>
      <c r="L140" s="44">
        <f>AVERAGE(I140,I178)</f>
        <v>0.10535005999535738</v>
      </c>
      <c r="M140" s="44">
        <f>AVERAGE(J140,J178)</f>
        <v>14.070626588390986</v>
      </c>
      <c r="N140" s="47"/>
      <c r="O140" s="35"/>
      <c r="P140" s="130"/>
    </row>
    <row r="141" spans="2:16">
      <c r="B141" s="129"/>
      <c r="C141" s="179" t="s">
        <v>190</v>
      </c>
      <c r="D141" s="179" t="s">
        <v>185</v>
      </c>
      <c r="E141" s="179" t="b">
        <v>0</v>
      </c>
      <c r="F141" s="179" t="s">
        <v>187</v>
      </c>
      <c r="G141" s="179" t="s">
        <v>178</v>
      </c>
      <c r="H141" s="43" t="str">
        <f t="shared" si="2"/>
        <v>Stour Marshes|Mixed|FALSE|600to700|FreeDrain</v>
      </c>
      <c r="I141" s="125">
        <v>8.6682953807885404E-2</v>
      </c>
      <c r="J141" s="47">
        <v>27.191791349392357</v>
      </c>
      <c r="K141" s="34" t="str">
        <f t="shared" si="3"/>
        <v>Mixed|600to700</v>
      </c>
      <c r="L141" s="44">
        <f>AVERAGE(I141:I142,I227)</f>
        <v>0.31724023520324424</v>
      </c>
      <c r="M141" s="44">
        <f>AVERAGE(J141:J142,J227)</f>
        <v>20.676463499037709</v>
      </c>
      <c r="N141" s="47"/>
      <c r="O141" s="35"/>
      <c r="P141" s="130"/>
    </row>
    <row r="142" spans="2:16">
      <c r="B142" s="129"/>
      <c r="C142" s="179" t="s">
        <v>190</v>
      </c>
      <c r="D142" s="179" t="s">
        <v>185</v>
      </c>
      <c r="E142" s="179" t="b">
        <v>0</v>
      </c>
      <c r="F142" s="179" t="s">
        <v>187</v>
      </c>
      <c r="G142" s="179" t="s">
        <v>180</v>
      </c>
      <c r="H142" s="43" t="str">
        <f t="shared" si="2"/>
        <v>Stour Marshes|Mixed|FALSE|600to700|DrainedArGr</v>
      </c>
      <c r="I142" s="125">
        <v>0.60166431311259094</v>
      </c>
      <c r="J142" s="47">
        <v>18.645273634904367</v>
      </c>
      <c r="K142" s="34" t="str">
        <f t="shared" si="3"/>
        <v>Mixed|600to700</v>
      </c>
      <c r="L142" s="44"/>
      <c r="M142" s="125"/>
      <c r="N142" s="47"/>
      <c r="O142" s="35"/>
      <c r="P142" s="130"/>
    </row>
    <row r="143" spans="2:16">
      <c r="B143" s="129"/>
      <c r="C143" s="179" t="s">
        <v>193</v>
      </c>
      <c r="D143" s="179" t="s">
        <v>176</v>
      </c>
      <c r="E143" s="179" t="b">
        <v>0</v>
      </c>
      <c r="F143" s="179" t="s">
        <v>191</v>
      </c>
      <c r="G143" s="179" t="s">
        <v>178</v>
      </c>
      <c r="H143" s="43" t="str">
        <f>D143&amp;"|"&amp;E143&amp;"|"&amp;F143&amp;"|"&amp;G143</f>
        <v>Cereals|FALSE|Under600|FreeDrain</v>
      </c>
      <c r="I143" s="125">
        <v>3.4960409237155418E-2</v>
      </c>
      <c r="J143" s="35">
        <v>19.486906630716735</v>
      </c>
      <c r="K143" s="27"/>
      <c r="L143" s="28"/>
      <c r="M143" s="28"/>
      <c r="N143" s="28"/>
      <c r="O143" s="28"/>
      <c r="P143" s="130"/>
    </row>
    <row r="144" spans="2:16">
      <c r="B144" s="129"/>
      <c r="C144" s="179" t="s">
        <v>193</v>
      </c>
      <c r="D144" s="179" t="s">
        <v>176</v>
      </c>
      <c r="E144" s="179" t="b">
        <v>0</v>
      </c>
      <c r="F144" s="179" t="s">
        <v>191</v>
      </c>
      <c r="G144" s="179" t="s">
        <v>179</v>
      </c>
      <c r="H144" s="43" t="str">
        <f t="shared" ref="H144:H207" si="4">D144&amp;"|"&amp;E144&amp;"|"&amp;F144&amp;"|"&amp;G144</f>
        <v>Cereals|FALSE|Under600|DrainedAr</v>
      </c>
      <c r="I144" s="125">
        <v>0.22438450151109107</v>
      </c>
      <c r="J144" s="35">
        <v>16.392137655416786</v>
      </c>
      <c r="K144" s="27"/>
      <c r="L144" s="28"/>
      <c r="M144" s="28"/>
      <c r="N144" s="28"/>
      <c r="O144" s="28"/>
      <c r="P144" s="130"/>
    </row>
    <row r="145" spans="2:16">
      <c r="B145" s="129"/>
      <c r="C145" s="179" t="s">
        <v>193</v>
      </c>
      <c r="D145" s="179" t="s">
        <v>176</v>
      </c>
      <c r="E145" s="179" t="b">
        <v>0</v>
      </c>
      <c r="F145" s="179" t="s">
        <v>191</v>
      </c>
      <c r="G145" s="179" t="s">
        <v>180</v>
      </c>
      <c r="H145" s="43" t="str">
        <f t="shared" si="4"/>
        <v>Cereals|FALSE|Under600|DrainedArGr</v>
      </c>
      <c r="I145" s="125">
        <v>0.3513190894109201</v>
      </c>
      <c r="J145" s="35">
        <v>18.608511187323199</v>
      </c>
      <c r="K145" s="27"/>
      <c r="L145" s="28"/>
      <c r="M145" s="28"/>
      <c r="N145" s="28"/>
      <c r="O145" s="28"/>
      <c r="P145" s="130"/>
    </row>
    <row r="146" spans="2:16">
      <c r="B146" s="129"/>
      <c r="C146" s="179" t="s">
        <v>193</v>
      </c>
      <c r="D146" s="179" t="s">
        <v>176</v>
      </c>
      <c r="E146" s="179" t="b">
        <v>0</v>
      </c>
      <c r="F146" s="179" t="s">
        <v>187</v>
      </c>
      <c r="G146" s="179" t="s">
        <v>178</v>
      </c>
      <c r="H146" s="43" t="str">
        <f t="shared" si="4"/>
        <v>Cereals|FALSE|600to700|FreeDrain</v>
      </c>
      <c r="I146" s="125">
        <v>5.0318652665380936E-2</v>
      </c>
      <c r="J146" s="35">
        <v>25.988714706612178</v>
      </c>
      <c r="K146" s="27"/>
      <c r="L146" s="28"/>
      <c r="M146" s="28"/>
      <c r="N146" s="28"/>
      <c r="O146" s="28"/>
      <c r="P146" s="130"/>
    </row>
    <row r="147" spans="2:16">
      <c r="B147" s="129"/>
      <c r="C147" s="179" t="s">
        <v>193</v>
      </c>
      <c r="D147" s="179" t="s">
        <v>176</v>
      </c>
      <c r="E147" s="179" t="b">
        <v>1</v>
      </c>
      <c r="F147" s="179" t="s">
        <v>187</v>
      </c>
      <c r="G147" s="179" t="s">
        <v>178</v>
      </c>
      <c r="H147" s="43" t="str">
        <f t="shared" si="4"/>
        <v>Cereals|TRUE|600to700|FreeDrain</v>
      </c>
      <c r="I147" s="125">
        <v>5.0315969305258633E-2</v>
      </c>
      <c r="J147" s="35">
        <v>25.909752468096791</v>
      </c>
      <c r="K147" s="27"/>
      <c r="L147" s="28"/>
      <c r="M147" s="28"/>
      <c r="N147" s="28"/>
      <c r="O147" s="28"/>
      <c r="P147" s="130"/>
    </row>
    <row r="148" spans="2:16">
      <c r="B148" s="129"/>
      <c r="C148" s="179" t="s">
        <v>193</v>
      </c>
      <c r="D148" s="179" t="s">
        <v>176</v>
      </c>
      <c r="E148" s="179" t="b">
        <v>0</v>
      </c>
      <c r="F148" s="179" t="s">
        <v>187</v>
      </c>
      <c r="G148" s="179" t="s">
        <v>179</v>
      </c>
      <c r="H148" s="43" t="str">
        <f t="shared" si="4"/>
        <v>Cereals|FALSE|600to700|DrainedAr</v>
      </c>
      <c r="I148" s="125">
        <v>0.33088051545349867</v>
      </c>
      <c r="J148" s="35">
        <v>18.952582835870068</v>
      </c>
      <c r="K148" s="27"/>
      <c r="L148" s="28"/>
      <c r="M148" s="28"/>
      <c r="N148" s="28"/>
      <c r="O148" s="28"/>
      <c r="P148" s="130"/>
    </row>
    <row r="149" spans="2:16">
      <c r="B149" s="129"/>
      <c r="C149" s="179" t="s">
        <v>193</v>
      </c>
      <c r="D149" s="179" t="s">
        <v>176</v>
      </c>
      <c r="E149" s="179" t="b">
        <v>1</v>
      </c>
      <c r="F149" s="179" t="s">
        <v>187</v>
      </c>
      <c r="G149" s="179" t="s">
        <v>179</v>
      </c>
      <c r="H149" s="43" t="str">
        <f t="shared" si="4"/>
        <v>Cereals|TRUE|600to700|DrainedAr</v>
      </c>
      <c r="I149" s="125">
        <v>0.33085782439932865</v>
      </c>
      <c r="J149" s="35">
        <v>18.899899498802792</v>
      </c>
      <c r="K149" s="27"/>
      <c r="L149" s="28"/>
      <c r="M149" s="28"/>
      <c r="N149" s="28"/>
      <c r="O149" s="28"/>
      <c r="P149" s="130"/>
    </row>
    <row r="150" spans="2:16">
      <c r="B150" s="129"/>
      <c r="C150" s="179" t="s">
        <v>193</v>
      </c>
      <c r="D150" s="179" t="s">
        <v>176</v>
      </c>
      <c r="E150" s="179" t="b">
        <v>0</v>
      </c>
      <c r="F150" s="179" t="s">
        <v>187</v>
      </c>
      <c r="G150" s="179" t="s">
        <v>180</v>
      </c>
      <c r="H150" s="43" t="str">
        <f t="shared" si="4"/>
        <v>Cereals|FALSE|600to700|DrainedArGr</v>
      </c>
      <c r="I150" s="125">
        <v>0.55037660166253255</v>
      </c>
      <c r="J150" s="35">
        <v>20.17421634344338</v>
      </c>
      <c r="K150" s="27"/>
      <c r="L150" s="28"/>
      <c r="M150" s="28"/>
      <c r="N150" s="28"/>
      <c r="O150" s="28"/>
      <c r="P150" s="130"/>
    </row>
    <row r="151" spans="2:16">
      <c r="B151" s="129"/>
      <c r="C151" s="179" t="s">
        <v>193</v>
      </c>
      <c r="D151" s="179" t="s">
        <v>176</v>
      </c>
      <c r="E151" s="179" t="b">
        <v>1</v>
      </c>
      <c r="F151" s="179" t="s">
        <v>187</v>
      </c>
      <c r="G151" s="179" t="s">
        <v>180</v>
      </c>
      <c r="H151" s="43" t="str">
        <f t="shared" si="4"/>
        <v>Cereals|TRUE|600to700|DrainedArGr</v>
      </c>
      <c r="I151" s="125">
        <v>0.55032576841788194</v>
      </c>
      <c r="J151" s="35">
        <v>20.122627405325396</v>
      </c>
      <c r="K151" s="27"/>
      <c r="L151" s="28"/>
      <c r="M151" s="28"/>
      <c r="N151" s="28"/>
      <c r="O151" s="28"/>
      <c r="P151" s="130"/>
    </row>
    <row r="152" spans="2:16">
      <c r="B152" s="129"/>
      <c r="C152" s="179" t="s">
        <v>193</v>
      </c>
      <c r="D152" s="179" t="s">
        <v>176</v>
      </c>
      <c r="E152" s="179" t="b">
        <v>0</v>
      </c>
      <c r="F152" s="179" t="s">
        <v>177</v>
      </c>
      <c r="G152" s="179" t="s">
        <v>178</v>
      </c>
      <c r="H152" s="43" t="str">
        <f t="shared" si="4"/>
        <v>Cereals|FALSE|700to900|FreeDrain</v>
      </c>
      <c r="I152" s="125">
        <v>0.13345882303968182</v>
      </c>
      <c r="J152" s="35">
        <v>31.053103546751434</v>
      </c>
      <c r="K152" s="27"/>
      <c r="L152" s="28"/>
      <c r="M152" s="28"/>
      <c r="N152" s="28"/>
      <c r="O152" s="28"/>
      <c r="P152" s="130"/>
    </row>
    <row r="153" spans="2:16">
      <c r="B153" s="129"/>
      <c r="C153" s="179" t="s">
        <v>193</v>
      </c>
      <c r="D153" s="179" t="s">
        <v>176</v>
      </c>
      <c r="E153" s="179" t="b">
        <v>1</v>
      </c>
      <c r="F153" s="179" t="s">
        <v>177</v>
      </c>
      <c r="G153" s="179" t="s">
        <v>178</v>
      </c>
      <c r="H153" s="43" t="str">
        <f t="shared" si="4"/>
        <v>Cereals|TRUE|700to900|FreeDrain</v>
      </c>
      <c r="I153" s="125">
        <v>0.13345387817364429</v>
      </c>
      <c r="J153" s="35">
        <v>30.959613651808152</v>
      </c>
      <c r="K153" s="27"/>
      <c r="L153" s="28"/>
      <c r="M153" s="28"/>
      <c r="N153" s="28"/>
      <c r="O153" s="28"/>
      <c r="P153" s="130"/>
    </row>
    <row r="154" spans="2:16">
      <c r="B154" s="129"/>
      <c r="C154" s="179" t="s">
        <v>193</v>
      </c>
      <c r="D154" s="179" t="s">
        <v>176</v>
      </c>
      <c r="E154" s="179" t="b">
        <v>0</v>
      </c>
      <c r="F154" s="179" t="s">
        <v>177</v>
      </c>
      <c r="G154" s="179" t="s">
        <v>179</v>
      </c>
      <c r="H154" s="43" t="str">
        <f t="shared" si="4"/>
        <v>Cereals|FALSE|700to900|DrainedAr</v>
      </c>
      <c r="I154" s="125">
        <v>0.71308300453879148</v>
      </c>
      <c r="J154" s="35">
        <v>23.65500900100416</v>
      </c>
      <c r="K154" s="27"/>
      <c r="L154" s="28"/>
      <c r="M154" s="28"/>
      <c r="N154" s="28"/>
      <c r="O154" s="28"/>
      <c r="P154" s="130"/>
    </row>
    <row r="155" spans="2:16">
      <c r="B155" s="129"/>
      <c r="C155" s="179" t="s">
        <v>193</v>
      </c>
      <c r="D155" s="179" t="s">
        <v>176</v>
      </c>
      <c r="E155" s="179" t="b">
        <v>1</v>
      </c>
      <c r="F155" s="179" t="s">
        <v>177</v>
      </c>
      <c r="G155" s="179" t="s">
        <v>179</v>
      </c>
      <c r="H155" s="43" t="str">
        <f t="shared" si="4"/>
        <v>Cereals|TRUE|700to900|DrainedAr</v>
      </c>
      <c r="I155" s="125">
        <v>0.71305181343858703</v>
      </c>
      <c r="J155" s="35">
        <v>23.590873385088923</v>
      </c>
      <c r="K155" s="27"/>
      <c r="L155" s="28"/>
      <c r="M155" s="28"/>
      <c r="N155" s="28"/>
      <c r="O155" s="28"/>
      <c r="P155" s="130"/>
    </row>
    <row r="156" spans="2:16">
      <c r="B156" s="129"/>
      <c r="C156" s="179" t="s">
        <v>193</v>
      </c>
      <c r="D156" s="179" t="s">
        <v>176</v>
      </c>
      <c r="E156" s="179" t="b">
        <v>0</v>
      </c>
      <c r="F156" s="179" t="s">
        <v>177</v>
      </c>
      <c r="G156" s="179" t="s">
        <v>180</v>
      </c>
      <c r="H156" s="43" t="str">
        <f t="shared" si="4"/>
        <v>Cereals|FALSE|700to900|DrainedArGr</v>
      </c>
      <c r="I156" s="125">
        <v>0.97052055997985853</v>
      </c>
      <c r="J156" s="35">
        <v>22.074783087056897</v>
      </c>
      <c r="K156" s="27"/>
      <c r="L156" s="28"/>
      <c r="M156" s="28"/>
      <c r="N156" s="28"/>
      <c r="O156" s="28"/>
      <c r="P156" s="130"/>
    </row>
    <row r="157" spans="2:16">
      <c r="B157" s="129"/>
      <c r="C157" s="179" t="s">
        <v>193</v>
      </c>
      <c r="D157" s="179" t="s">
        <v>176</v>
      </c>
      <c r="E157" s="179" t="b">
        <v>1</v>
      </c>
      <c r="F157" s="179" t="s">
        <v>177</v>
      </c>
      <c r="G157" s="179" t="s">
        <v>180</v>
      </c>
      <c r="H157" s="43" t="str">
        <f t="shared" si="4"/>
        <v>Cereals|TRUE|700to900|DrainedArGr</v>
      </c>
      <c r="I157" s="125">
        <v>0.9704541213624821</v>
      </c>
      <c r="J157" s="35">
        <v>22.022278945620627</v>
      </c>
      <c r="K157" s="27"/>
      <c r="L157" s="28"/>
      <c r="M157" s="28"/>
      <c r="N157" s="28"/>
      <c r="O157" s="28"/>
      <c r="P157" s="130"/>
    </row>
    <row r="158" spans="2:16">
      <c r="B158" s="129"/>
      <c r="C158" s="179" t="s">
        <v>193</v>
      </c>
      <c r="D158" s="179" t="s">
        <v>176</v>
      </c>
      <c r="E158" s="179" t="b">
        <v>0</v>
      </c>
      <c r="F158" s="179" t="s">
        <v>189</v>
      </c>
      <c r="G158" s="179" t="s">
        <v>178</v>
      </c>
      <c r="H158" s="43" t="str">
        <f t="shared" si="4"/>
        <v>Cereals|FALSE|900to1200|FreeDrain</v>
      </c>
      <c r="I158" s="125">
        <v>0.231117735011171</v>
      </c>
      <c r="J158" s="35">
        <v>32.950990911683498</v>
      </c>
      <c r="K158" s="27"/>
      <c r="L158" s="28"/>
      <c r="M158" s="28"/>
      <c r="N158" s="28"/>
      <c r="O158" s="28"/>
      <c r="P158" s="130"/>
    </row>
    <row r="159" spans="2:16">
      <c r="B159" s="129"/>
      <c r="C159" s="179" t="s">
        <v>193</v>
      </c>
      <c r="D159" s="179" t="s">
        <v>176</v>
      </c>
      <c r="E159" s="179" t="b">
        <v>0</v>
      </c>
      <c r="F159" s="179" t="s">
        <v>189</v>
      </c>
      <c r="G159" s="179" t="s">
        <v>179</v>
      </c>
      <c r="H159" s="43" t="str">
        <f t="shared" si="4"/>
        <v>Cereals|FALSE|900to1200|DrainedAr</v>
      </c>
      <c r="I159" s="125">
        <v>1.3432910670596279</v>
      </c>
      <c r="J159" s="35">
        <v>30.162006837436419</v>
      </c>
      <c r="K159" s="27"/>
      <c r="L159" s="28"/>
      <c r="M159" s="28"/>
      <c r="N159" s="28"/>
      <c r="O159" s="28"/>
      <c r="P159" s="130"/>
    </row>
    <row r="160" spans="2:16">
      <c r="B160" s="129"/>
      <c r="C160" s="179" t="s">
        <v>193</v>
      </c>
      <c r="D160" s="179" t="s">
        <v>176</v>
      </c>
      <c r="E160" s="179" t="b">
        <v>0</v>
      </c>
      <c r="F160" s="179" t="s">
        <v>192</v>
      </c>
      <c r="G160" s="179" t="s">
        <v>178</v>
      </c>
      <c r="H160" s="43" t="str">
        <f t="shared" si="4"/>
        <v>Cereals|FALSE|Over1500|FreeDrain</v>
      </c>
      <c r="I160" s="125">
        <v>0.63099101764179544</v>
      </c>
      <c r="J160" s="35">
        <v>34.674008850253152</v>
      </c>
      <c r="K160" s="27"/>
      <c r="L160" s="28"/>
      <c r="M160" s="28"/>
      <c r="N160" s="28"/>
      <c r="O160" s="28"/>
      <c r="P160" s="130"/>
    </row>
    <row r="161" spans="2:16">
      <c r="B161" s="129"/>
      <c r="C161" s="179" t="s">
        <v>193</v>
      </c>
      <c r="D161" s="179" t="s">
        <v>176</v>
      </c>
      <c r="E161" s="179" t="b">
        <v>1</v>
      </c>
      <c r="F161" s="179" t="s">
        <v>192</v>
      </c>
      <c r="G161" s="179" t="s">
        <v>178</v>
      </c>
      <c r="H161" s="43" t="str">
        <f t="shared" si="4"/>
        <v>Cereals|TRUE|Over1500|FreeDrain</v>
      </c>
      <c r="I161" s="125">
        <v>0.63098080211785756</v>
      </c>
      <c r="J161" s="35">
        <v>34.576032982812407</v>
      </c>
      <c r="K161" s="27"/>
      <c r="L161" s="28"/>
      <c r="M161" s="28"/>
      <c r="N161" s="28"/>
      <c r="O161" s="28"/>
      <c r="P161" s="130"/>
    </row>
    <row r="162" spans="2:16">
      <c r="B162" s="129"/>
      <c r="C162" s="179" t="s">
        <v>193</v>
      </c>
      <c r="D162" s="179" t="s">
        <v>181</v>
      </c>
      <c r="E162" s="179" t="b">
        <v>0</v>
      </c>
      <c r="F162" s="179" t="s">
        <v>191</v>
      </c>
      <c r="G162" s="179" t="s">
        <v>179</v>
      </c>
      <c r="H162" s="43" t="str">
        <f t="shared" si="4"/>
        <v>General|FALSE|Under600|DrainedAr</v>
      </c>
      <c r="I162" s="125">
        <v>0.17762620789076738</v>
      </c>
      <c r="J162" s="35">
        <v>13.486589518219411</v>
      </c>
      <c r="K162" s="27"/>
      <c r="L162" s="28"/>
      <c r="M162" s="28"/>
      <c r="N162" s="28"/>
      <c r="O162" s="28"/>
      <c r="P162" s="130"/>
    </row>
    <row r="163" spans="2:16">
      <c r="B163" s="129"/>
      <c r="C163" s="179" t="s">
        <v>193</v>
      </c>
      <c r="D163" s="179" t="s">
        <v>181</v>
      </c>
      <c r="E163" s="179" t="b">
        <v>0</v>
      </c>
      <c r="F163" s="179" t="s">
        <v>191</v>
      </c>
      <c r="G163" s="179" t="s">
        <v>180</v>
      </c>
      <c r="H163" s="43" t="str">
        <f t="shared" si="4"/>
        <v>General|FALSE|Under600|DrainedArGr</v>
      </c>
      <c r="I163" s="125">
        <v>0.29993460218554546</v>
      </c>
      <c r="J163" s="35">
        <v>15.079521661383609</v>
      </c>
      <c r="K163" s="27"/>
      <c r="L163" s="28"/>
      <c r="M163" s="28"/>
      <c r="N163" s="28"/>
      <c r="O163" s="28"/>
      <c r="P163" s="130"/>
    </row>
    <row r="164" spans="2:16">
      <c r="B164" s="129"/>
      <c r="C164" s="179" t="s">
        <v>193</v>
      </c>
      <c r="D164" s="179" t="s">
        <v>181</v>
      </c>
      <c r="E164" s="179" t="b">
        <v>0</v>
      </c>
      <c r="F164" s="179" t="s">
        <v>187</v>
      </c>
      <c r="G164" s="179" t="s">
        <v>178</v>
      </c>
      <c r="H164" s="43" t="str">
        <f t="shared" si="4"/>
        <v>General|FALSE|600to700|FreeDrain</v>
      </c>
      <c r="I164" s="125">
        <v>4.2588393883866794E-2</v>
      </c>
      <c r="J164" s="35">
        <v>21.987535375612165</v>
      </c>
      <c r="K164" s="27"/>
      <c r="L164" s="28"/>
      <c r="M164" s="28"/>
      <c r="N164" s="28"/>
      <c r="O164" s="28"/>
      <c r="P164" s="130"/>
    </row>
    <row r="165" spans="2:16">
      <c r="B165" s="129"/>
      <c r="C165" s="179" t="s">
        <v>193</v>
      </c>
      <c r="D165" s="179" t="s">
        <v>181</v>
      </c>
      <c r="E165" s="179" t="b">
        <v>1</v>
      </c>
      <c r="F165" s="179" t="s">
        <v>187</v>
      </c>
      <c r="G165" s="179" t="s">
        <v>178</v>
      </c>
      <c r="H165" s="43" t="str">
        <f t="shared" si="4"/>
        <v>General|TRUE|600to700|FreeDrain</v>
      </c>
      <c r="I165" s="125">
        <v>4.2588393883866794E-2</v>
      </c>
      <c r="J165" s="35">
        <v>21.92448617652958</v>
      </c>
      <c r="K165" s="27"/>
      <c r="L165" s="28"/>
      <c r="M165" s="28"/>
      <c r="N165" s="28"/>
      <c r="O165" s="28"/>
      <c r="P165" s="130"/>
    </row>
    <row r="166" spans="2:16">
      <c r="B166" s="129"/>
      <c r="C166" s="179" t="s">
        <v>193</v>
      </c>
      <c r="D166" s="179" t="s">
        <v>181</v>
      </c>
      <c r="E166" s="179" t="b">
        <v>0</v>
      </c>
      <c r="F166" s="179" t="s">
        <v>187</v>
      </c>
      <c r="G166" s="179" t="s">
        <v>179</v>
      </c>
      <c r="H166" s="43" t="str">
        <f t="shared" si="4"/>
        <v>General|FALSE|600to700|DrainedAr</v>
      </c>
      <c r="I166" s="125">
        <v>0.25657703514154906</v>
      </c>
      <c r="J166" s="35">
        <v>15.538645206007349</v>
      </c>
      <c r="K166" s="27"/>
      <c r="L166" s="28"/>
      <c r="M166" s="28"/>
      <c r="N166" s="28"/>
      <c r="O166" s="28"/>
      <c r="P166" s="130"/>
    </row>
    <row r="167" spans="2:16">
      <c r="B167" s="129"/>
      <c r="C167" s="179" t="s">
        <v>193</v>
      </c>
      <c r="D167" s="179" t="s">
        <v>181</v>
      </c>
      <c r="E167" s="179" t="b">
        <v>1</v>
      </c>
      <c r="F167" s="179" t="s">
        <v>187</v>
      </c>
      <c r="G167" s="179" t="s">
        <v>179</v>
      </c>
      <c r="H167" s="43" t="str">
        <f t="shared" si="4"/>
        <v>General|TRUE|600to700|DrainedAr</v>
      </c>
      <c r="I167" s="125">
        <v>0.25657703514154906</v>
      </c>
      <c r="J167" s="35">
        <v>15.498088286508924</v>
      </c>
      <c r="K167" s="27"/>
      <c r="L167" s="28"/>
      <c r="M167" s="28"/>
      <c r="N167" s="28"/>
      <c r="O167" s="28"/>
      <c r="P167" s="130"/>
    </row>
    <row r="168" spans="2:16">
      <c r="B168" s="129"/>
      <c r="C168" s="179" t="s">
        <v>193</v>
      </c>
      <c r="D168" s="179" t="s">
        <v>181</v>
      </c>
      <c r="E168" s="179" t="b">
        <v>0</v>
      </c>
      <c r="F168" s="179" t="s">
        <v>187</v>
      </c>
      <c r="G168" s="179" t="s">
        <v>180</v>
      </c>
      <c r="H168" s="43" t="str">
        <f t="shared" si="4"/>
        <v>General|FALSE|600to700|DrainedArGr</v>
      </c>
      <c r="I168" s="125">
        <v>0.45673040481101557</v>
      </c>
      <c r="J168" s="35">
        <v>16.174154905458028</v>
      </c>
      <c r="K168" s="27"/>
      <c r="L168" s="28"/>
      <c r="M168" s="28"/>
      <c r="N168" s="28"/>
      <c r="O168" s="28"/>
      <c r="P168" s="130"/>
    </row>
    <row r="169" spans="2:16">
      <c r="B169" s="129"/>
      <c r="C169" s="179" t="s">
        <v>193</v>
      </c>
      <c r="D169" s="179" t="s">
        <v>181</v>
      </c>
      <c r="E169" s="179" t="b">
        <v>1</v>
      </c>
      <c r="F169" s="179" t="s">
        <v>187</v>
      </c>
      <c r="G169" s="179" t="s">
        <v>180</v>
      </c>
      <c r="H169" s="43" t="str">
        <f t="shared" si="4"/>
        <v>General|TRUE|600to700|DrainedArGr</v>
      </c>
      <c r="I169" s="125">
        <v>0.45673040481101557</v>
      </c>
      <c r="J169" s="35">
        <v>16.135139940832222</v>
      </c>
      <c r="K169" s="27"/>
      <c r="L169" s="28"/>
      <c r="M169" s="28"/>
      <c r="N169" s="28"/>
      <c r="O169" s="28"/>
      <c r="P169" s="130"/>
    </row>
    <row r="170" spans="2:16">
      <c r="B170" s="129"/>
      <c r="C170" s="179" t="s">
        <v>193</v>
      </c>
      <c r="D170" s="179" t="s">
        <v>181</v>
      </c>
      <c r="E170" s="179" t="b">
        <v>0</v>
      </c>
      <c r="F170" s="179" t="s">
        <v>177</v>
      </c>
      <c r="G170" s="179" t="s">
        <v>178</v>
      </c>
      <c r="H170" s="43" t="str">
        <f t="shared" si="4"/>
        <v>General|FALSE|700to900|FreeDrain</v>
      </c>
      <c r="I170" s="125">
        <v>0.11108289285037945</v>
      </c>
      <c r="J170" s="35">
        <v>26.24576569013799</v>
      </c>
      <c r="K170" s="27"/>
      <c r="L170" s="28"/>
      <c r="M170" s="28"/>
      <c r="N170" s="28"/>
      <c r="O170" s="28"/>
      <c r="P170" s="130"/>
    </row>
    <row r="171" spans="2:16">
      <c r="B171" s="129"/>
      <c r="C171" s="179" t="s">
        <v>193</v>
      </c>
      <c r="D171" s="179" t="s">
        <v>181</v>
      </c>
      <c r="E171" s="179" t="b">
        <v>1</v>
      </c>
      <c r="F171" s="179" t="s">
        <v>177</v>
      </c>
      <c r="G171" s="179" t="s">
        <v>178</v>
      </c>
      <c r="H171" s="43" t="str">
        <f t="shared" si="4"/>
        <v>General|TRUE|700to900|FreeDrain</v>
      </c>
      <c r="I171" s="125">
        <v>0.11108289285037945</v>
      </c>
      <c r="J171" s="35">
        <v>26.171557677772078</v>
      </c>
      <c r="K171" s="27"/>
      <c r="L171" s="28"/>
      <c r="M171" s="28"/>
      <c r="N171" s="28"/>
      <c r="O171" s="28"/>
      <c r="P171" s="130"/>
    </row>
    <row r="172" spans="2:16">
      <c r="B172" s="129"/>
      <c r="C172" s="179" t="s">
        <v>193</v>
      </c>
      <c r="D172" s="179" t="s">
        <v>181</v>
      </c>
      <c r="E172" s="179" t="b">
        <v>0</v>
      </c>
      <c r="F172" s="179" t="s">
        <v>177</v>
      </c>
      <c r="G172" s="179" t="s">
        <v>179</v>
      </c>
      <c r="H172" s="43" t="str">
        <f t="shared" si="4"/>
        <v>General|FALSE|700to900|DrainedAr</v>
      </c>
      <c r="I172" s="125">
        <v>0.54744496327093017</v>
      </c>
      <c r="J172" s="35">
        <v>19.343075134030492</v>
      </c>
      <c r="K172" s="27"/>
      <c r="L172" s="28"/>
      <c r="M172" s="28"/>
      <c r="N172" s="28"/>
      <c r="O172" s="28"/>
      <c r="P172" s="130"/>
    </row>
    <row r="173" spans="2:16">
      <c r="B173" s="129"/>
      <c r="C173" s="179" t="s">
        <v>193</v>
      </c>
      <c r="D173" s="179" t="s">
        <v>181</v>
      </c>
      <c r="E173" s="179" t="b">
        <v>1</v>
      </c>
      <c r="F173" s="179" t="s">
        <v>177</v>
      </c>
      <c r="G173" s="179" t="s">
        <v>179</v>
      </c>
      <c r="H173" s="43" t="str">
        <f t="shared" si="4"/>
        <v>General|TRUE|700to900|DrainedAr</v>
      </c>
      <c r="I173" s="125">
        <v>0.54744496327093017</v>
      </c>
      <c r="J173" s="35">
        <v>19.294077207498852</v>
      </c>
      <c r="K173" s="27"/>
      <c r="L173" s="28"/>
      <c r="M173" s="28"/>
      <c r="N173" s="28"/>
      <c r="O173" s="28"/>
      <c r="P173" s="130"/>
    </row>
    <row r="174" spans="2:16">
      <c r="B174" s="129"/>
      <c r="C174" s="179" t="s">
        <v>193</v>
      </c>
      <c r="D174" s="179" t="s">
        <v>181</v>
      </c>
      <c r="E174" s="179" t="b">
        <v>0</v>
      </c>
      <c r="F174" s="179" t="s">
        <v>177</v>
      </c>
      <c r="G174" s="179" t="s">
        <v>180</v>
      </c>
      <c r="H174" s="43" t="str">
        <f t="shared" si="4"/>
        <v>General|FALSE|700to900|DrainedArGr</v>
      </c>
      <c r="I174" s="125">
        <v>0.79937656239255195</v>
      </c>
      <c r="J174" s="35">
        <v>17.491198728777917</v>
      </c>
      <c r="K174" s="27"/>
      <c r="L174" s="28"/>
      <c r="M174" s="28"/>
      <c r="N174" s="28"/>
      <c r="O174" s="28"/>
      <c r="P174" s="130"/>
    </row>
    <row r="175" spans="2:16">
      <c r="B175" s="129"/>
      <c r="C175" s="179" t="s">
        <v>193</v>
      </c>
      <c r="D175" s="179" t="s">
        <v>181</v>
      </c>
      <c r="E175" s="179" t="b">
        <v>1</v>
      </c>
      <c r="F175" s="179" t="s">
        <v>177</v>
      </c>
      <c r="G175" s="179" t="s">
        <v>180</v>
      </c>
      <c r="H175" s="43" t="str">
        <f t="shared" si="4"/>
        <v>General|TRUE|700to900|DrainedArGr</v>
      </c>
      <c r="I175" s="125">
        <v>0.79937656239255195</v>
      </c>
      <c r="J175" s="35">
        <v>17.452061607461104</v>
      </c>
      <c r="K175" s="27"/>
      <c r="L175" s="28"/>
      <c r="M175" s="28"/>
      <c r="N175" s="28"/>
      <c r="O175" s="28"/>
      <c r="P175" s="130"/>
    </row>
    <row r="176" spans="2:16">
      <c r="B176" s="129"/>
      <c r="C176" s="179" t="s">
        <v>193</v>
      </c>
      <c r="D176" s="179" t="s">
        <v>181</v>
      </c>
      <c r="E176" s="179" t="b">
        <v>0</v>
      </c>
      <c r="F176" s="179" t="s">
        <v>189</v>
      </c>
      <c r="G176" s="179" t="s">
        <v>179</v>
      </c>
      <c r="H176" s="43" t="str">
        <f t="shared" si="4"/>
        <v>General|FALSE|900to1200|DrainedAr</v>
      </c>
      <c r="I176" s="125">
        <v>1.0370421053873702</v>
      </c>
      <c r="J176" s="35">
        <v>24.395517368086455</v>
      </c>
      <c r="K176" s="27"/>
      <c r="L176" s="28"/>
      <c r="M176" s="28"/>
      <c r="N176" s="28"/>
      <c r="O176" s="28"/>
      <c r="P176" s="130"/>
    </row>
    <row r="177" spans="2:16">
      <c r="B177" s="129"/>
      <c r="C177" s="179" t="s">
        <v>193</v>
      </c>
      <c r="D177" s="46" t="s">
        <v>182</v>
      </c>
      <c r="E177" s="179" t="b">
        <v>0</v>
      </c>
      <c r="F177" s="179" t="s">
        <v>191</v>
      </c>
      <c r="G177" s="179" t="s">
        <v>178</v>
      </c>
      <c r="H177" s="43" t="str">
        <f t="shared" si="4"/>
        <v>Horticulture|FALSE|Under600|FreeDrain</v>
      </c>
      <c r="I177" s="125">
        <v>2.0653992884972952E-2</v>
      </c>
      <c r="J177" s="35">
        <v>10.26556328871092</v>
      </c>
      <c r="K177" s="27"/>
      <c r="L177" s="28"/>
      <c r="M177" s="28"/>
      <c r="N177" s="28"/>
      <c r="O177" s="28"/>
      <c r="P177" s="130"/>
    </row>
    <row r="178" spans="2:16">
      <c r="B178" s="129"/>
      <c r="C178" s="179" t="s">
        <v>193</v>
      </c>
      <c r="D178" s="46" t="s">
        <v>182</v>
      </c>
      <c r="E178" s="179" t="b">
        <v>0</v>
      </c>
      <c r="F178" s="179" t="s">
        <v>191</v>
      </c>
      <c r="G178" s="179" t="s">
        <v>179</v>
      </c>
      <c r="H178" s="43" t="str">
        <f t="shared" si="4"/>
        <v>Horticulture|FALSE|Under600|DrainedAr</v>
      </c>
      <c r="I178" s="125">
        <v>0.14288523028966613</v>
      </c>
      <c r="J178" s="35">
        <v>8.2418283328774997</v>
      </c>
      <c r="K178" s="27"/>
      <c r="L178" s="28"/>
      <c r="M178" s="28"/>
      <c r="N178" s="28"/>
      <c r="O178" s="28"/>
      <c r="P178" s="130"/>
    </row>
    <row r="179" spans="2:16">
      <c r="B179" s="129"/>
      <c r="C179" s="179" t="s">
        <v>193</v>
      </c>
      <c r="D179" s="46" t="s">
        <v>182</v>
      </c>
      <c r="E179" s="179" t="b">
        <v>0</v>
      </c>
      <c r="F179" s="179" t="s">
        <v>187</v>
      </c>
      <c r="G179" s="179" t="s">
        <v>178</v>
      </c>
      <c r="H179" s="43" t="str">
        <f t="shared" si="4"/>
        <v>Horticulture|FALSE|600to700|FreeDrain</v>
      </c>
      <c r="I179" s="125">
        <v>2.9993932599003341E-2</v>
      </c>
      <c r="J179" s="35">
        <v>13.498399856516111</v>
      </c>
      <c r="K179" s="27"/>
      <c r="L179" s="28"/>
      <c r="M179" s="28"/>
      <c r="N179" s="28"/>
      <c r="O179" s="28"/>
      <c r="P179" s="130"/>
    </row>
    <row r="180" spans="2:16">
      <c r="B180" s="129"/>
      <c r="C180" s="179" t="s">
        <v>193</v>
      </c>
      <c r="D180" s="46" t="s">
        <v>182</v>
      </c>
      <c r="E180" s="179" t="b">
        <v>1</v>
      </c>
      <c r="F180" s="179" t="s">
        <v>187</v>
      </c>
      <c r="G180" s="179" t="s">
        <v>178</v>
      </c>
      <c r="H180" s="43" t="str">
        <f t="shared" si="4"/>
        <v>Horticulture|TRUE|600to700|FreeDrain</v>
      </c>
      <c r="I180" s="125">
        <v>2.9993932599003341E-2</v>
      </c>
      <c r="J180" s="35">
        <v>13.462289185619078</v>
      </c>
      <c r="K180" s="27"/>
      <c r="L180" s="28"/>
      <c r="M180" s="28"/>
      <c r="N180" s="28"/>
      <c r="O180" s="28"/>
      <c r="P180" s="130"/>
    </row>
    <row r="181" spans="2:16">
      <c r="B181" s="129"/>
      <c r="C181" s="179" t="s">
        <v>193</v>
      </c>
      <c r="D181" s="46" t="s">
        <v>182</v>
      </c>
      <c r="E181" s="179" t="b">
        <v>0</v>
      </c>
      <c r="F181" s="179" t="s">
        <v>187</v>
      </c>
      <c r="G181" s="179" t="s">
        <v>179</v>
      </c>
      <c r="H181" s="43" t="str">
        <f t="shared" si="4"/>
        <v>Horticulture|FALSE|600to700|DrainedAr</v>
      </c>
      <c r="I181" s="125">
        <v>0.20482651575846866</v>
      </c>
      <c r="J181" s="35">
        <v>9.4077977355521245</v>
      </c>
      <c r="K181" s="27"/>
      <c r="L181" s="28"/>
      <c r="M181" s="28"/>
      <c r="N181" s="28"/>
      <c r="O181" s="28"/>
      <c r="P181" s="130"/>
    </row>
    <row r="182" spans="2:16">
      <c r="B182" s="129"/>
      <c r="C182" s="179" t="s">
        <v>193</v>
      </c>
      <c r="D182" s="46" t="s">
        <v>182</v>
      </c>
      <c r="E182" s="179" t="b">
        <v>0</v>
      </c>
      <c r="F182" s="179" t="s">
        <v>187</v>
      </c>
      <c r="G182" s="179" t="s">
        <v>180</v>
      </c>
      <c r="H182" s="43" t="str">
        <f t="shared" si="4"/>
        <v>Horticulture|FALSE|600to700|DrainedArGr</v>
      </c>
      <c r="I182" s="125">
        <v>0.34968571561625705</v>
      </c>
      <c r="J182" s="35">
        <v>9.6496778086794475</v>
      </c>
      <c r="K182" s="27"/>
      <c r="L182" s="28"/>
      <c r="M182" s="28"/>
      <c r="N182" s="28"/>
      <c r="O182" s="28"/>
      <c r="P182" s="130"/>
    </row>
    <row r="183" spans="2:16">
      <c r="B183" s="129"/>
      <c r="C183" s="179" t="s">
        <v>193</v>
      </c>
      <c r="D183" s="46" t="s">
        <v>182</v>
      </c>
      <c r="E183" s="179" t="b">
        <v>0</v>
      </c>
      <c r="F183" s="179" t="s">
        <v>177</v>
      </c>
      <c r="G183" s="179" t="s">
        <v>178</v>
      </c>
      <c r="H183" s="43" t="str">
        <f t="shared" si="4"/>
        <v>Horticulture|FALSE|700to900|FreeDrain</v>
      </c>
      <c r="I183" s="125">
        <v>8.1157164279532096E-2</v>
      </c>
      <c r="J183" s="35">
        <v>16.194481609454204</v>
      </c>
      <c r="K183" s="27"/>
      <c r="L183" s="28"/>
      <c r="M183" s="28"/>
      <c r="N183" s="28"/>
      <c r="O183" s="28"/>
      <c r="P183" s="130"/>
    </row>
    <row r="184" spans="2:16">
      <c r="B184" s="129"/>
      <c r="C184" s="179" t="s">
        <v>193</v>
      </c>
      <c r="D184" s="46" t="s">
        <v>182</v>
      </c>
      <c r="E184" s="179" t="b">
        <v>1</v>
      </c>
      <c r="F184" s="179" t="s">
        <v>177</v>
      </c>
      <c r="G184" s="179" t="s">
        <v>178</v>
      </c>
      <c r="H184" s="43" t="str">
        <f t="shared" si="4"/>
        <v>Horticulture|TRUE|700to900|FreeDrain</v>
      </c>
      <c r="I184" s="125">
        <v>8.1157164279532096E-2</v>
      </c>
      <c r="J184" s="35">
        <v>16.151656129354865</v>
      </c>
      <c r="K184" s="27"/>
      <c r="L184" s="28"/>
      <c r="M184" s="28"/>
      <c r="N184" s="28"/>
      <c r="O184" s="28"/>
      <c r="P184" s="130"/>
    </row>
    <row r="185" spans="2:16">
      <c r="B185" s="129"/>
      <c r="C185" s="179" t="s">
        <v>193</v>
      </c>
      <c r="D185" s="46" t="s">
        <v>182</v>
      </c>
      <c r="E185" s="179" t="b">
        <v>0</v>
      </c>
      <c r="F185" s="179" t="s">
        <v>177</v>
      </c>
      <c r="G185" s="179" t="s">
        <v>179</v>
      </c>
      <c r="H185" s="43" t="str">
        <f t="shared" si="4"/>
        <v>Horticulture|FALSE|700to900|DrainedAr</v>
      </c>
      <c r="I185" s="125">
        <v>0.43516127910381996</v>
      </c>
      <c r="J185" s="35">
        <v>11.765813750414354</v>
      </c>
      <c r="K185" s="27"/>
      <c r="L185" s="28"/>
      <c r="M185" s="28"/>
      <c r="N185" s="28"/>
      <c r="O185" s="28"/>
      <c r="P185" s="130"/>
    </row>
    <row r="186" spans="2:16">
      <c r="B186" s="129"/>
      <c r="C186" s="179" t="s">
        <v>193</v>
      </c>
      <c r="D186" s="46" t="s">
        <v>182</v>
      </c>
      <c r="E186" s="179" t="b">
        <v>1</v>
      </c>
      <c r="F186" s="179" t="s">
        <v>177</v>
      </c>
      <c r="G186" s="179" t="s">
        <v>179</v>
      </c>
      <c r="H186" s="43" t="str">
        <f t="shared" si="4"/>
        <v>Horticulture|TRUE|700to900|DrainedAr</v>
      </c>
      <c r="I186" s="125">
        <v>0.43516127910381996</v>
      </c>
      <c r="J186" s="35">
        <v>11.73746162362837</v>
      </c>
      <c r="K186" s="27"/>
      <c r="L186" s="28"/>
      <c r="M186" s="28"/>
      <c r="N186" s="28"/>
      <c r="O186" s="28"/>
      <c r="P186" s="130"/>
    </row>
    <row r="187" spans="2:16">
      <c r="B187" s="129"/>
      <c r="C187" s="179" t="s">
        <v>193</v>
      </c>
      <c r="D187" s="46" t="s">
        <v>182</v>
      </c>
      <c r="E187" s="179" t="b">
        <v>0</v>
      </c>
      <c r="F187" s="179" t="s">
        <v>177</v>
      </c>
      <c r="G187" s="179" t="s">
        <v>180</v>
      </c>
      <c r="H187" s="43" t="str">
        <f t="shared" si="4"/>
        <v>Horticulture|FALSE|700to900|DrainedArGr</v>
      </c>
      <c r="I187" s="125">
        <v>0.60930444589894184</v>
      </c>
      <c r="J187" s="35">
        <v>10.498424328699093</v>
      </c>
      <c r="K187" s="27"/>
      <c r="L187" s="28"/>
      <c r="M187" s="28"/>
      <c r="N187" s="28"/>
      <c r="O187" s="28"/>
      <c r="P187" s="130"/>
    </row>
    <row r="188" spans="2:16">
      <c r="B188" s="129"/>
      <c r="C188" s="179" t="s">
        <v>193</v>
      </c>
      <c r="D188" s="179" t="s">
        <v>194</v>
      </c>
      <c r="E188" s="179" t="b">
        <v>0</v>
      </c>
      <c r="F188" s="179" t="s">
        <v>187</v>
      </c>
      <c r="G188" s="179" t="s">
        <v>178</v>
      </c>
      <c r="H188" s="43" t="str">
        <f t="shared" si="4"/>
        <v>Pig|FALSE|600to700|FreeDrain</v>
      </c>
      <c r="I188" s="125">
        <v>5.4838836461291458E-2</v>
      </c>
      <c r="J188" s="35">
        <v>53.87434020859147</v>
      </c>
      <c r="K188" s="27"/>
      <c r="L188" s="28"/>
      <c r="M188" s="28"/>
      <c r="N188" s="28"/>
      <c r="O188" s="28"/>
      <c r="P188" s="130"/>
    </row>
    <row r="189" spans="2:16">
      <c r="B189" s="129"/>
      <c r="C189" s="179" t="s">
        <v>193</v>
      </c>
      <c r="D189" s="179" t="s">
        <v>194</v>
      </c>
      <c r="E189" s="179" t="b">
        <v>0</v>
      </c>
      <c r="F189" s="179" t="s">
        <v>187</v>
      </c>
      <c r="G189" s="179" t="s">
        <v>179</v>
      </c>
      <c r="H189" s="43" t="str">
        <f t="shared" si="4"/>
        <v>Pig|FALSE|600to700|DrainedAr</v>
      </c>
      <c r="I189" s="125">
        <v>0.31366639505963084</v>
      </c>
      <c r="J189" s="35">
        <v>36.469308604815645</v>
      </c>
      <c r="K189" s="27"/>
      <c r="L189" s="28"/>
      <c r="M189" s="28"/>
      <c r="N189" s="28"/>
      <c r="O189" s="28"/>
      <c r="P189" s="130"/>
    </row>
    <row r="190" spans="2:16">
      <c r="B190" s="129"/>
      <c r="C190" s="179" t="s">
        <v>193</v>
      </c>
      <c r="D190" s="179" t="s">
        <v>194</v>
      </c>
      <c r="E190" s="179" t="b">
        <v>0</v>
      </c>
      <c r="F190" s="179" t="s">
        <v>187</v>
      </c>
      <c r="G190" s="179" t="s">
        <v>180</v>
      </c>
      <c r="H190" s="43" t="str">
        <f t="shared" si="4"/>
        <v>Pig|FALSE|600to700|DrainedArGr</v>
      </c>
      <c r="I190" s="125">
        <v>0.60152293862522144</v>
      </c>
      <c r="J190" s="35">
        <v>35.649981202901955</v>
      </c>
      <c r="K190" s="27"/>
      <c r="L190" s="28"/>
      <c r="M190" s="28"/>
      <c r="N190" s="28"/>
      <c r="O190" s="28"/>
      <c r="P190" s="130"/>
    </row>
    <row r="191" spans="2:16">
      <c r="B191" s="129"/>
      <c r="C191" s="179" t="s">
        <v>193</v>
      </c>
      <c r="D191" s="179" t="s">
        <v>194</v>
      </c>
      <c r="E191" s="179" t="b">
        <v>0</v>
      </c>
      <c r="F191" s="179" t="s">
        <v>177</v>
      </c>
      <c r="G191" s="179" t="s">
        <v>178</v>
      </c>
      <c r="H191" s="43" t="str">
        <f t="shared" si="4"/>
        <v>Pig|FALSE|700to900|FreeDrain</v>
      </c>
      <c r="I191" s="125">
        <v>0.13620780057279125</v>
      </c>
      <c r="J191" s="35">
        <v>63.879092385218208</v>
      </c>
      <c r="K191" s="27"/>
      <c r="L191" s="28"/>
      <c r="M191" s="28"/>
      <c r="N191" s="28"/>
      <c r="O191" s="28"/>
      <c r="P191" s="130"/>
    </row>
    <row r="192" spans="2:16">
      <c r="B192" s="129"/>
      <c r="C192" s="179" t="s">
        <v>193</v>
      </c>
      <c r="D192" s="179" t="s">
        <v>194</v>
      </c>
      <c r="E192" s="179" t="b">
        <v>1</v>
      </c>
      <c r="F192" s="179" t="s">
        <v>177</v>
      </c>
      <c r="G192" s="179" t="s">
        <v>178</v>
      </c>
      <c r="H192" s="43" t="str">
        <f t="shared" si="4"/>
        <v>Pig|TRUE|700to900|FreeDrain</v>
      </c>
      <c r="I192" s="125">
        <v>0.13452528323341487</v>
      </c>
      <c r="J192" s="35">
        <v>63.983775821809203</v>
      </c>
      <c r="K192" s="27"/>
      <c r="L192" s="28"/>
      <c r="M192" s="28"/>
      <c r="N192" s="28"/>
      <c r="O192" s="28"/>
      <c r="P192" s="130"/>
    </row>
    <row r="193" spans="2:16">
      <c r="B193" s="129"/>
      <c r="C193" s="179" t="s">
        <v>193</v>
      </c>
      <c r="D193" s="179" t="s">
        <v>194</v>
      </c>
      <c r="E193" s="179" t="b">
        <v>0</v>
      </c>
      <c r="F193" s="179" t="s">
        <v>177</v>
      </c>
      <c r="G193" s="179" t="s">
        <v>179</v>
      </c>
      <c r="H193" s="43" t="str">
        <f t="shared" si="4"/>
        <v>Pig|FALSE|700to900|DrainedAr</v>
      </c>
      <c r="I193" s="125">
        <v>0.64885577637038694</v>
      </c>
      <c r="J193" s="35">
        <v>45.591680519894282</v>
      </c>
      <c r="K193" s="27"/>
      <c r="L193" s="28"/>
      <c r="M193" s="28"/>
      <c r="N193" s="28"/>
      <c r="O193" s="28"/>
      <c r="P193" s="130"/>
    </row>
    <row r="194" spans="2:16">
      <c r="B194" s="129"/>
      <c r="C194" s="179" t="s">
        <v>193</v>
      </c>
      <c r="D194" s="179" t="s">
        <v>194</v>
      </c>
      <c r="E194" s="179" t="b">
        <v>1</v>
      </c>
      <c r="F194" s="179" t="s">
        <v>177</v>
      </c>
      <c r="G194" s="179" t="s">
        <v>179</v>
      </c>
      <c r="H194" s="43" t="str">
        <f t="shared" si="4"/>
        <v>Pig|TRUE|700to900|DrainedAr</v>
      </c>
      <c r="I194" s="125">
        <v>0.63477153493881477</v>
      </c>
      <c r="J194" s="35">
        <v>44.328676224886166</v>
      </c>
      <c r="K194" s="27"/>
      <c r="L194" s="28"/>
      <c r="M194" s="28"/>
      <c r="N194" s="28"/>
      <c r="O194" s="28"/>
      <c r="P194" s="130"/>
    </row>
    <row r="195" spans="2:16">
      <c r="B195" s="129"/>
      <c r="C195" s="179" t="s">
        <v>193</v>
      </c>
      <c r="D195" s="179" t="s">
        <v>183</v>
      </c>
      <c r="E195" s="179" t="b">
        <v>1</v>
      </c>
      <c r="F195" s="179" t="s">
        <v>187</v>
      </c>
      <c r="G195" s="179" t="s">
        <v>178</v>
      </c>
      <c r="H195" s="43" t="str">
        <f t="shared" si="4"/>
        <v>Poultry|TRUE|600to700|FreeDrain</v>
      </c>
      <c r="I195" s="125">
        <v>5.3128456138666097E-2</v>
      </c>
      <c r="J195" s="35">
        <v>57.417300787516957</v>
      </c>
      <c r="K195" s="27"/>
      <c r="L195" s="28"/>
      <c r="M195" s="28"/>
      <c r="N195" s="28"/>
      <c r="O195" s="28"/>
      <c r="P195" s="130"/>
    </row>
    <row r="196" spans="2:16">
      <c r="B196" s="129"/>
      <c r="C196" s="179" t="s">
        <v>193</v>
      </c>
      <c r="D196" s="179" t="s">
        <v>183</v>
      </c>
      <c r="E196" s="179" t="b">
        <v>1</v>
      </c>
      <c r="F196" s="179" t="s">
        <v>187</v>
      </c>
      <c r="G196" s="179" t="s">
        <v>179</v>
      </c>
      <c r="H196" s="43" t="str">
        <f t="shared" si="4"/>
        <v>Poultry|TRUE|600to700|DrainedAr</v>
      </c>
      <c r="I196" s="125">
        <v>0.24468586335901221</v>
      </c>
      <c r="J196" s="35">
        <v>36.818131366958461</v>
      </c>
      <c r="K196" s="27"/>
      <c r="L196" s="28"/>
      <c r="M196" s="28"/>
      <c r="N196" s="28"/>
      <c r="O196" s="28"/>
      <c r="P196" s="130"/>
    </row>
    <row r="197" spans="2:16">
      <c r="B197" s="129"/>
      <c r="C197" s="179" t="s">
        <v>193</v>
      </c>
      <c r="D197" s="179" t="s">
        <v>183</v>
      </c>
      <c r="E197" s="179" t="b">
        <v>0</v>
      </c>
      <c r="F197" s="179" t="s">
        <v>187</v>
      </c>
      <c r="G197" s="179" t="s">
        <v>180</v>
      </c>
      <c r="H197" s="43" t="str">
        <f t="shared" si="4"/>
        <v>Poultry|FALSE|600to700|DrainedArGr</v>
      </c>
      <c r="I197" s="125">
        <v>0.46642383441543833</v>
      </c>
      <c r="J197" s="35">
        <v>36.484717807715256</v>
      </c>
      <c r="K197" s="27"/>
      <c r="L197" s="28"/>
      <c r="M197" s="28"/>
      <c r="N197" s="28"/>
      <c r="O197" s="28"/>
      <c r="P197" s="130"/>
    </row>
    <row r="198" spans="2:16">
      <c r="B198" s="129"/>
      <c r="C198" s="179" t="s">
        <v>193</v>
      </c>
      <c r="D198" s="179" t="s">
        <v>183</v>
      </c>
      <c r="E198" s="179" t="b">
        <v>0</v>
      </c>
      <c r="F198" s="179" t="s">
        <v>177</v>
      </c>
      <c r="G198" s="179" t="s">
        <v>178</v>
      </c>
      <c r="H198" s="43" t="str">
        <f t="shared" si="4"/>
        <v>Poultry|FALSE|700to900|FreeDrain</v>
      </c>
      <c r="I198" s="125">
        <v>0.12865383989553078</v>
      </c>
      <c r="J198" s="35">
        <v>67.615992223535073</v>
      </c>
      <c r="K198" s="27"/>
      <c r="L198" s="28"/>
      <c r="M198" s="28"/>
      <c r="N198" s="28"/>
      <c r="O198" s="28"/>
      <c r="P198" s="130"/>
    </row>
    <row r="199" spans="2:16">
      <c r="B199" s="129"/>
      <c r="C199" s="179" t="s">
        <v>193</v>
      </c>
      <c r="D199" s="179" t="s">
        <v>183</v>
      </c>
      <c r="E199" s="179" t="b">
        <v>1</v>
      </c>
      <c r="F199" s="179" t="s">
        <v>177</v>
      </c>
      <c r="G199" s="179" t="s">
        <v>178</v>
      </c>
      <c r="H199" s="43" t="str">
        <f t="shared" si="4"/>
        <v>Poultry|TRUE|700to900|FreeDrain</v>
      </c>
      <c r="I199" s="125">
        <v>0.12718794150897916</v>
      </c>
      <c r="J199" s="35">
        <v>67.83302220371182</v>
      </c>
      <c r="K199" s="27"/>
      <c r="L199" s="28"/>
      <c r="M199" s="28"/>
      <c r="N199" s="28"/>
      <c r="O199" s="28"/>
      <c r="P199" s="130"/>
    </row>
    <row r="200" spans="2:16">
      <c r="B200" s="129"/>
      <c r="C200" s="179" t="s">
        <v>193</v>
      </c>
      <c r="D200" s="179" t="s">
        <v>183</v>
      </c>
      <c r="E200" s="179" t="b">
        <v>0</v>
      </c>
      <c r="F200" s="179" t="s">
        <v>177</v>
      </c>
      <c r="G200" s="179" t="s">
        <v>179</v>
      </c>
      <c r="H200" s="43" t="str">
        <f t="shared" si="4"/>
        <v>Poultry|FALSE|700to900|DrainedAr</v>
      </c>
      <c r="I200" s="125">
        <v>0.5300297648780905</v>
      </c>
      <c r="J200" s="35">
        <v>47.167205457192239</v>
      </c>
      <c r="K200" s="27"/>
      <c r="L200" s="28"/>
      <c r="M200" s="28"/>
      <c r="N200" s="28"/>
      <c r="O200" s="28"/>
      <c r="P200" s="130"/>
    </row>
    <row r="201" spans="2:16">
      <c r="B201" s="129"/>
      <c r="C201" s="179" t="s">
        <v>193</v>
      </c>
      <c r="D201" s="179" t="s">
        <v>183</v>
      </c>
      <c r="E201" s="179" t="b">
        <v>1</v>
      </c>
      <c r="F201" s="179" t="s">
        <v>177</v>
      </c>
      <c r="G201" s="179" t="s">
        <v>179</v>
      </c>
      <c r="H201" s="43" t="str">
        <f t="shared" si="4"/>
        <v>Poultry|TRUE|700to900|DrainedAr</v>
      </c>
      <c r="I201" s="125">
        <v>0.52094218517857993</v>
      </c>
      <c r="J201" s="35">
        <v>45.738254655933744</v>
      </c>
      <c r="K201" s="27"/>
      <c r="L201" s="28"/>
      <c r="M201" s="28"/>
      <c r="N201" s="28"/>
      <c r="O201" s="28"/>
      <c r="P201" s="130"/>
    </row>
    <row r="202" spans="2:16">
      <c r="B202" s="129"/>
      <c r="C202" s="179" t="s">
        <v>193</v>
      </c>
      <c r="D202" s="179" t="s">
        <v>183</v>
      </c>
      <c r="E202" s="179" t="b">
        <v>1</v>
      </c>
      <c r="F202" s="179" t="s">
        <v>177</v>
      </c>
      <c r="G202" s="179" t="s">
        <v>180</v>
      </c>
      <c r="H202" s="43" t="str">
        <f t="shared" si="4"/>
        <v>Poultry|TRUE|700to900|DrainedArGr</v>
      </c>
      <c r="I202" s="125">
        <v>0.80387071618603634</v>
      </c>
      <c r="J202" s="35">
        <v>37.606555935646476</v>
      </c>
      <c r="K202" s="27"/>
      <c r="L202" s="28"/>
      <c r="M202" s="28"/>
      <c r="N202" s="28"/>
      <c r="O202" s="28"/>
      <c r="P202" s="130"/>
    </row>
    <row r="203" spans="2:16">
      <c r="B203" s="129"/>
      <c r="C203" s="179" t="s">
        <v>193</v>
      </c>
      <c r="D203" s="179" t="s">
        <v>195</v>
      </c>
      <c r="E203" s="179" t="b">
        <v>1</v>
      </c>
      <c r="F203" s="179" t="s">
        <v>187</v>
      </c>
      <c r="G203" s="179" t="s">
        <v>178</v>
      </c>
      <c r="H203" s="43" t="str">
        <f t="shared" si="4"/>
        <v>Dairy|TRUE|600to700|FreeDrain</v>
      </c>
      <c r="I203" s="125">
        <v>0.11463872314706343</v>
      </c>
      <c r="J203" s="35">
        <v>42.883399074061352</v>
      </c>
      <c r="K203" s="27"/>
      <c r="L203" s="28"/>
      <c r="M203" s="28"/>
      <c r="N203" s="28"/>
      <c r="O203" s="28"/>
      <c r="P203" s="130"/>
    </row>
    <row r="204" spans="2:16">
      <c r="B204" s="129"/>
      <c r="C204" s="179" t="s">
        <v>193</v>
      </c>
      <c r="D204" s="179" t="s">
        <v>195</v>
      </c>
      <c r="E204" s="179" t="b">
        <v>0</v>
      </c>
      <c r="F204" s="179" t="s">
        <v>177</v>
      </c>
      <c r="G204" s="179" t="s">
        <v>178</v>
      </c>
      <c r="H204" s="43" t="str">
        <f t="shared" si="4"/>
        <v>Dairy|FALSE|700to900|FreeDrain</v>
      </c>
      <c r="I204" s="125">
        <v>0.18661155372905058</v>
      </c>
      <c r="J204" s="35">
        <v>59.340224628890105</v>
      </c>
      <c r="K204" s="27"/>
      <c r="L204" s="28"/>
      <c r="M204" s="28"/>
      <c r="N204" s="28"/>
      <c r="O204" s="28"/>
      <c r="P204" s="130"/>
    </row>
    <row r="205" spans="2:16">
      <c r="B205" s="129"/>
      <c r="C205" s="179" t="s">
        <v>193</v>
      </c>
      <c r="D205" s="179" t="s">
        <v>195</v>
      </c>
      <c r="E205" s="179" t="b">
        <v>1</v>
      </c>
      <c r="F205" s="179" t="s">
        <v>177</v>
      </c>
      <c r="G205" s="179" t="s">
        <v>178</v>
      </c>
      <c r="H205" s="43" t="str">
        <f t="shared" si="4"/>
        <v>Dairy|TRUE|700to900|FreeDrain</v>
      </c>
      <c r="I205" s="125">
        <v>0.1844690628112281</v>
      </c>
      <c r="J205" s="35">
        <v>58.74100933930211</v>
      </c>
      <c r="K205" s="27"/>
      <c r="L205" s="28"/>
      <c r="M205" s="28"/>
      <c r="N205" s="28"/>
      <c r="O205" s="28"/>
      <c r="P205" s="130"/>
    </row>
    <row r="206" spans="2:16">
      <c r="B206" s="129"/>
      <c r="C206" s="179" t="s">
        <v>193</v>
      </c>
      <c r="D206" s="179" t="s">
        <v>195</v>
      </c>
      <c r="E206" s="179" t="b">
        <v>0</v>
      </c>
      <c r="F206" s="179" t="s">
        <v>177</v>
      </c>
      <c r="G206" s="179" t="s">
        <v>179</v>
      </c>
      <c r="H206" s="43" t="str">
        <f t="shared" si="4"/>
        <v>Dairy|FALSE|700to900|DrainedAr</v>
      </c>
      <c r="I206" s="125">
        <v>0.45840682543968136</v>
      </c>
      <c r="J206" s="35">
        <v>45.480663873969583</v>
      </c>
      <c r="K206" s="27"/>
      <c r="L206" s="28"/>
      <c r="M206" s="28"/>
      <c r="N206" s="28"/>
      <c r="O206" s="28"/>
      <c r="P206" s="130"/>
    </row>
    <row r="207" spans="2:16">
      <c r="B207" s="129"/>
      <c r="C207" s="179" t="s">
        <v>193</v>
      </c>
      <c r="D207" s="179" t="s">
        <v>195</v>
      </c>
      <c r="E207" s="179" t="b">
        <v>1</v>
      </c>
      <c r="F207" s="179" t="s">
        <v>177</v>
      </c>
      <c r="G207" s="179" t="s">
        <v>180</v>
      </c>
      <c r="H207" s="43" t="str">
        <f t="shared" si="4"/>
        <v>Dairy|TRUE|700to900|DrainedArGr</v>
      </c>
      <c r="I207" s="125">
        <v>1.4655465507664167</v>
      </c>
      <c r="J207" s="35">
        <v>25.985605531654784</v>
      </c>
      <c r="K207" s="27"/>
      <c r="L207" s="28"/>
      <c r="M207" s="28"/>
      <c r="N207" s="28"/>
      <c r="O207" s="28"/>
      <c r="P207" s="130"/>
    </row>
    <row r="208" spans="2:16">
      <c r="B208" s="129"/>
      <c r="C208" s="179" t="s">
        <v>193</v>
      </c>
      <c r="D208" s="179" t="s">
        <v>184</v>
      </c>
      <c r="E208" s="179" t="b">
        <v>0</v>
      </c>
      <c r="F208" s="179" t="s">
        <v>191</v>
      </c>
      <c r="G208" s="179" t="s">
        <v>180</v>
      </c>
      <c r="H208" s="43" t="str">
        <f t="shared" ref="H208:H234" si="5">D208&amp;"|"&amp;E208&amp;"|"&amp;F208&amp;"|"&amp;G208</f>
        <v>Lowland|FALSE|Under600|DrainedArGr</v>
      </c>
      <c r="I208" s="125">
        <v>0.31559915814715866</v>
      </c>
      <c r="J208" s="35">
        <v>6.1026717727745314</v>
      </c>
      <c r="K208" s="27"/>
      <c r="L208" s="28"/>
      <c r="M208" s="28"/>
      <c r="N208" s="28"/>
      <c r="O208" s="28"/>
      <c r="P208" s="130"/>
    </row>
    <row r="209" spans="2:16">
      <c r="B209" s="129"/>
      <c r="C209" s="179" t="s">
        <v>193</v>
      </c>
      <c r="D209" s="179" t="s">
        <v>184</v>
      </c>
      <c r="E209" s="179" t="b">
        <v>0</v>
      </c>
      <c r="F209" s="179" t="s">
        <v>187</v>
      </c>
      <c r="G209" s="179" t="s">
        <v>178</v>
      </c>
      <c r="H209" s="43" t="str">
        <f t="shared" si="5"/>
        <v>Lowland|FALSE|600to700|FreeDrain</v>
      </c>
      <c r="I209" s="125">
        <v>4.773055828608036E-2</v>
      </c>
      <c r="J209" s="35">
        <v>11.321248944822083</v>
      </c>
      <c r="K209" s="27"/>
      <c r="L209" s="28"/>
      <c r="M209" s="28"/>
      <c r="N209" s="28"/>
      <c r="O209" s="28"/>
      <c r="P209" s="130"/>
    </row>
    <row r="210" spans="2:16">
      <c r="B210" s="129"/>
      <c r="C210" s="179" t="s">
        <v>193</v>
      </c>
      <c r="D210" s="179" t="s">
        <v>184</v>
      </c>
      <c r="E210" s="179" t="b">
        <v>1</v>
      </c>
      <c r="F210" s="179" t="s">
        <v>187</v>
      </c>
      <c r="G210" s="179" t="s">
        <v>178</v>
      </c>
      <c r="H210" s="43" t="str">
        <f t="shared" si="5"/>
        <v>Lowland|TRUE|600to700|FreeDrain</v>
      </c>
      <c r="I210" s="125">
        <v>4.7730493922127123E-2</v>
      </c>
      <c r="J210" s="35">
        <v>11.264932671087621</v>
      </c>
      <c r="K210" s="27"/>
      <c r="L210" s="28"/>
      <c r="M210" s="28"/>
      <c r="N210" s="28"/>
      <c r="O210" s="28"/>
      <c r="P210" s="130"/>
    </row>
    <row r="211" spans="2:16">
      <c r="B211" s="129"/>
      <c r="C211" s="179" t="s">
        <v>193</v>
      </c>
      <c r="D211" s="179" t="s">
        <v>184</v>
      </c>
      <c r="E211" s="179" t="b">
        <v>0</v>
      </c>
      <c r="F211" s="179" t="s">
        <v>187</v>
      </c>
      <c r="G211" s="179" t="s">
        <v>179</v>
      </c>
      <c r="H211" s="43" t="str">
        <f t="shared" si="5"/>
        <v>Lowland|FALSE|600to700|DrainedAr</v>
      </c>
      <c r="I211" s="125">
        <v>0.10058042850191634</v>
      </c>
      <c r="J211" s="35">
        <v>7.7289316243658313</v>
      </c>
      <c r="K211" s="27"/>
      <c r="L211" s="28"/>
      <c r="M211" s="28"/>
      <c r="N211" s="28"/>
      <c r="O211" s="28"/>
      <c r="P211" s="130"/>
    </row>
    <row r="212" spans="2:16">
      <c r="B212" s="129"/>
      <c r="C212" s="179" t="s">
        <v>193</v>
      </c>
      <c r="D212" s="179" t="s">
        <v>184</v>
      </c>
      <c r="E212" s="179" t="b">
        <v>1</v>
      </c>
      <c r="F212" s="179" t="s">
        <v>187</v>
      </c>
      <c r="G212" s="179" t="s">
        <v>179</v>
      </c>
      <c r="H212" s="43" t="str">
        <f t="shared" si="5"/>
        <v>Lowland|TRUE|600to700|DrainedAr</v>
      </c>
      <c r="I212" s="125">
        <v>0.10058033142667133</v>
      </c>
      <c r="J212" s="35">
        <v>7.692456759396916</v>
      </c>
      <c r="K212" s="27"/>
      <c r="L212" s="28"/>
      <c r="M212" s="28"/>
      <c r="N212" s="28"/>
      <c r="O212" s="28"/>
      <c r="P212" s="130"/>
    </row>
    <row r="213" spans="2:16">
      <c r="B213" s="129"/>
      <c r="C213" s="179" t="s">
        <v>193</v>
      </c>
      <c r="D213" s="179" t="s">
        <v>184</v>
      </c>
      <c r="E213" s="179" t="b">
        <v>0</v>
      </c>
      <c r="F213" s="179" t="s">
        <v>187</v>
      </c>
      <c r="G213" s="179" t="s">
        <v>180</v>
      </c>
      <c r="H213" s="43" t="str">
        <f t="shared" si="5"/>
        <v>Lowland|FALSE|600to700|DrainedArGr</v>
      </c>
      <c r="I213" s="125">
        <v>0.43870895477587118</v>
      </c>
      <c r="J213" s="35">
        <v>7.7819495946105013</v>
      </c>
      <c r="K213" s="27"/>
      <c r="L213" s="28"/>
      <c r="M213" s="28"/>
      <c r="N213" s="28"/>
      <c r="O213" s="28"/>
      <c r="P213" s="130"/>
    </row>
    <row r="214" spans="2:16">
      <c r="B214" s="129"/>
      <c r="C214" s="179" t="s">
        <v>193</v>
      </c>
      <c r="D214" s="179" t="s">
        <v>184</v>
      </c>
      <c r="E214" s="179" t="b">
        <v>0</v>
      </c>
      <c r="F214" s="179" t="s">
        <v>177</v>
      </c>
      <c r="G214" s="179" t="s">
        <v>178</v>
      </c>
      <c r="H214" s="43" t="str">
        <f t="shared" si="5"/>
        <v>Lowland|FALSE|700to900|FreeDrain</v>
      </c>
      <c r="I214" s="125">
        <v>8.9843865145412163E-2</v>
      </c>
      <c r="J214" s="35">
        <v>15.65202910299829</v>
      </c>
      <c r="K214" s="27"/>
      <c r="L214" s="28"/>
      <c r="M214" s="28"/>
      <c r="N214" s="28"/>
      <c r="O214" s="28"/>
      <c r="P214" s="130"/>
    </row>
    <row r="215" spans="2:16">
      <c r="B215" s="129"/>
      <c r="C215" s="179" t="s">
        <v>193</v>
      </c>
      <c r="D215" s="179" t="s">
        <v>184</v>
      </c>
      <c r="E215" s="179" t="b">
        <v>1</v>
      </c>
      <c r="F215" s="179" t="s">
        <v>177</v>
      </c>
      <c r="G215" s="179" t="s">
        <v>178</v>
      </c>
      <c r="H215" s="43" t="str">
        <f t="shared" si="5"/>
        <v>Lowland|TRUE|700to900|FreeDrain</v>
      </c>
      <c r="I215" s="125">
        <v>8.9843762662764642E-2</v>
      </c>
      <c r="J215" s="35">
        <v>15.578556586256498</v>
      </c>
      <c r="K215" s="27"/>
      <c r="L215" s="28"/>
      <c r="M215" s="28"/>
      <c r="N215" s="28"/>
      <c r="O215" s="28"/>
      <c r="P215" s="130"/>
    </row>
    <row r="216" spans="2:16">
      <c r="B216" s="129"/>
      <c r="C216" s="179" t="s">
        <v>193</v>
      </c>
      <c r="D216" s="179" t="s">
        <v>184</v>
      </c>
      <c r="E216" s="179" t="b">
        <v>0</v>
      </c>
      <c r="F216" s="179" t="s">
        <v>177</v>
      </c>
      <c r="G216" s="179" t="s">
        <v>179</v>
      </c>
      <c r="H216" s="43" t="str">
        <f t="shared" si="5"/>
        <v>Lowland|FALSE|700to900|DrainedAr</v>
      </c>
      <c r="I216" s="125">
        <v>0.19570228295266962</v>
      </c>
      <c r="J216" s="35">
        <v>12.11570646508183</v>
      </c>
      <c r="K216" s="27"/>
      <c r="L216" s="28"/>
      <c r="M216" s="28"/>
      <c r="N216" s="28"/>
      <c r="O216" s="28"/>
      <c r="P216" s="130"/>
    </row>
    <row r="217" spans="2:16">
      <c r="B217" s="129"/>
      <c r="C217" s="179" t="s">
        <v>193</v>
      </c>
      <c r="D217" s="179" t="s">
        <v>184</v>
      </c>
      <c r="E217" s="179" t="b">
        <v>1</v>
      </c>
      <c r="F217" s="179" t="s">
        <v>177</v>
      </c>
      <c r="G217" s="179" t="s">
        <v>179</v>
      </c>
      <c r="H217" s="43" t="str">
        <f t="shared" si="5"/>
        <v>Lowland|TRUE|700to900|DrainedAr</v>
      </c>
      <c r="I217" s="125">
        <v>0.19570215580522238</v>
      </c>
      <c r="J217" s="35">
        <v>12.059838644156951</v>
      </c>
      <c r="K217" s="27"/>
      <c r="L217" s="28"/>
      <c r="M217" s="28"/>
      <c r="N217" s="28"/>
      <c r="O217" s="28"/>
      <c r="P217" s="130"/>
    </row>
    <row r="218" spans="2:16">
      <c r="B218" s="129"/>
      <c r="C218" s="179" t="s">
        <v>193</v>
      </c>
      <c r="D218" s="179" t="s">
        <v>184</v>
      </c>
      <c r="E218" s="179" t="b">
        <v>0</v>
      </c>
      <c r="F218" s="179" t="s">
        <v>177</v>
      </c>
      <c r="G218" s="179" t="s">
        <v>180</v>
      </c>
      <c r="H218" s="43" t="str">
        <f t="shared" si="5"/>
        <v>Lowland|FALSE|700to900|DrainedArGr</v>
      </c>
      <c r="I218" s="125">
        <v>0.6969053860591119</v>
      </c>
      <c r="J218" s="35">
        <v>9.4596255179380986</v>
      </c>
      <c r="K218" s="27"/>
      <c r="L218" s="28"/>
      <c r="M218" s="28"/>
      <c r="N218" s="28"/>
      <c r="O218" s="28"/>
      <c r="P218" s="130"/>
    </row>
    <row r="219" spans="2:16">
      <c r="B219" s="129"/>
      <c r="C219" s="179" t="s">
        <v>193</v>
      </c>
      <c r="D219" s="179" t="s">
        <v>184</v>
      </c>
      <c r="E219" s="179" t="b">
        <v>1</v>
      </c>
      <c r="F219" s="179" t="s">
        <v>177</v>
      </c>
      <c r="G219" s="179" t="s">
        <v>180</v>
      </c>
      <c r="H219" s="43" t="str">
        <f t="shared" si="5"/>
        <v>Lowland|TRUE|700to900|DrainedArGr</v>
      </c>
      <c r="I219" s="125">
        <v>0.6968894764796707</v>
      </c>
      <c r="J219" s="35">
        <v>9.4433060700758027</v>
      </c>
      <c r="K219" s="27"/>
      <c r="L219" s="28"/>
      <c r="M219" s="28"/>
      <c r="N219" s="28"/>
      <c r="O219" s="28"/>
      <c r="P219" s="130"/>
    </row>
    <row r="220" spans="2:16">
      <c r="B220" s="129"/>
      <c r="C220" s="179" t="s">
        <v>193</v>
      </c>
      <c r="D220" s="179" t="s">
        <v>184</v>
      </c>
      <c r="E220" s="179" t="b">
        <v>0</v>
      </c>
      <c r="F220" s="179" t="s">
        <v>189</v>
      </c>
      <c r="G220" s="179" t="s">
        <v>178</v>
      </c>
      <c r="H220" s="43" t="str">
        <f t="shared" si="5"/>
        <v>Lowland|FALSE|900to1200|FreeDrain</v>
      </c>
      <c r="I220" s="125">
        <v>0.14614382918601182</v>
      </c>
      <c r="J220" s="35">
        <v>16.768353280837214</v>
      </c>
      <c r="K220" s="27"/>
      <c r="L220" s="28"/>
      <c r="M220" s="28"/>
      <c r="N220" s="28"/>
      <c r="O220" s="28"/>
      <c r="P220" s="130"/>
    </row>
    <row r="221" spans="2:16">
      <c r="B221" s="129"/>
      <c r="C221" s="179" t="s">
        <v>193</v>
      </c>
      <c r="D221" s="179" t="s">
        <v>184</v>
      </c>
      <c r="E221" s="179" t="b">
        <v>1</v>
      </c>
      <c r="F221" s="179" t="s">
        <v>189</v>
      </c>
      <c r="G221" s="179" t="s">
        <v>178</v>
      </c>
      <c r="H221" s="43" t="str">
        <f t="shared" si="5"/>
        <v>Lowland|TRUE|900to1200|FreeDrain</v>
      </c>
      <c r="I221" s="125">
        <v>0.1461436983257666</v>
      </c>
      <c r="J221" s="35">
        <v>16.693416068256909</v>
      </c>
      <c r="K221" s="27"/>
      <c r="L221" s="28"/>
      <c r="M221" s="28"/>
      <c r="N221" s="28"/>
      <c r="O221" s="28"/>
      <c r="P221" s="130"/>
    </row>
    <row r="222" spans="2:16">
      <c r="B222" s="129"/>
      <c r="C222" s="179" t="s">
        <v>193</v>
      </c>
      <c r="D222" s="179" t="s">
        <v>184</v>
      </c>
      <c r="E222" s="179" t="b">
        <v>0</v>
      </c>
      <c r="F222" s="179" t="s">
        <v>189</v>
      </c>
      <c r="G222" s="179" t="s">
        <v>179</v>
      </c>
      <c r="H222" s="43" t="str">
        <f t="shared" si="5"/>
        <v>Lowland|FALSE|900to1200|DrainedAr</v>
      </c>
      <c r="I222" s="125">
        <v>0.35303145275826248</v>
      </c>
      <c r="J222" s="35">
        <v>15.536456549822185</v>
      </c>
      <c r="K222" s="27"/>
      <c r="L222" s="28"/>
      <c r="M222" s="28"/>
      <c r="N222" s="28"/>
      <c r="O222" s="28"/>
      <c r="P222" s="130"/>
    </row>
    <row r="223" spans="2:16">
      <c r="B223" s="129"/>
      <c r="C223" s="179" t="s">
        <v>193</v>
      </c>
      <c r="D223" s="179" t="s">
        <v>184</v>
      </c>
      <c r="E223" s="179" t="b">
        <v>1</v>
      </c>
      <c r="F223" s="179" t="s">
        <v>192</v>
      </c>
      <c r="G223" s="179" t="s">
        <v>178</v>
      </c>
      <c r="H223" s="43" t="str">
        <f t="shared" si="5"/>
        <v>Lowland|TRUE|Over1500|FreeDrain</v>
      </c>
      <c r="I223" s="125">
        <v>0.34065364394476988</v>
      </c>
      <c r="J223" s="35">
        <v>15.337297992056854</v>
      </c>
      <c r="K223" s="27"/>
      <c r="L223" s="28"/>
      <c r="M223" s="28"/>
      <c r="N223" s="28"/>
      <c r="O223" s="28"/>
      <c r="P223" s="130"/>
    </row>
    <row r="224" spans="2:16">
      <c r="B224" s="129"/>
      <c r="C224" s="179" t="s">
        <v>193</v>
      </c>
      <c r="D224" s="179" t="s">
        <v>185</v>
      </c>
      <c r="E224" s="179" t="b">
        <v>0</v>
      </c>
      <c r="F224" s="179" t="s">
        <v>191</v>
      </c>
      <c r="G224" s="179" t="s">
        <v>178</v>
      </c>
      <c r="H224" s="43" t="str">
        <f t="shared" si="5"/>
        <v>Mixed|FALSE|Under600|FreeDrain</v>
      </c>
      <c r="I224" s="125">
        <v>4.0487758903716219E-2</v>
      </c>
      <c r="J224" s="35">
        <v>16.454137543244151</v>
      </c>
      <c r="K224" s="27"/>
      <c r="L224" s="28"/>
      <c r="M224" s="28"/>
      <c r="N224" s="28"/>
      <c r="O224" s="28"/>
      <c r="P224" s="130"/>
    </row>
    <row r="225" spans="2:16">
      <c r="B225" s="129"/>
      <c r="C225" s="179" t="s">
        <v>193</v>
      </c>
      <c r="D225" s="179" t="s">
        <v>185</v>
      </c>
      <c r="E225" s="179" t="b">
        <v>0</v>
      </c>
      <c r="F225" s="179" t="s">
        <v>187</v>
      </c>
      <c r="G225" s="179" t="s">
        <v>178</v>
      </c>
      <c r="H225" s="43" t="str">
        <f t="shared" si="5"/>
        <v>Mixed|FALSE|600to700|FreeDrain</v>
      </c>
      <c r="I225" s="125">
        <v>5.4385032454288773E-2</v>
      </c>
      <c r="J225" s="35">
        <v>22.634676611045332</v>
      </c>
      <c r="K225" s="27"/>
      <c r="L225" s="28"/>
      <c r="M225" s="28"/>
      <c r="N225" s="28"/>
      <c r="O225" s="28"/>
      <c r="P225" s="130"/>
    </row>
    <row r="226" spans="2:16">
      <c r="B226" s="129"/>
      <c r="C226" s="179" t="s">
        <v>193</v>
      </c>
      <c r="D226" s="179" t="s">
        <v>185</v>
      </c>
      <c r="E226" s="179" t="b">
        <v>1</v>
      </c>
      <c r="F226" s="179" t="s">
        <v>187</v>
      </c>
      <c r="G226" s="179" t="s">
        <v>178</v>
      </c>
      <c r="H226" s="43" t="str">
        <f t="shared" si="5"/>
        <v>Mixed|TRUE|600to700|FreeDrain</v>
      </c>
      <c r="I226" s="125">
        <v>5.4291996216987777E-2</v>
      </c>
      <c r="J226" s="35">
        <v>22.520204208322358</v>
      </c>
      <c r="K226" s="27"/>
      <c r="L226" s="28"/>
      <c r="M226" s="28"/>
      <c r="N226" s="28"/>
      <c r="O226" s="28"/>
      <c r="P226" s="130"/>
    </row>
    <row r="227" spans="2:16">
      <c r="B227" s="129"/>
      <c r="C227" s="179" t="s">
        <v>193</v>
      </c>
      <c r="D227" s="179" t="s">
        <v>185</v>
      </c>
      <c r="E227" s="179" t="b">
        <v>1</v>
      </c>
      <c r="F227" s="179" t="s">
        <v>187</v>
      </c>
      <c r="G227" s="179" t="s">
        <v>179</v>
      </c>
      <c r="H227" s="43" t="str">
        <f t="shared" si="5"/>
        <v>Mixed|TRUE|600to700|DrainedAr</v>
      </c>
      <c r="I227" s="125">
        <v>0.26337343868925644</v>
      </c>
      <c r="J227" s="35">
        <v>16.192325512816399</v>
      </c>
      <c r="K227" s="27"/>
      <c r="L227" s="28"/>
      <c r="M227" s="28"/>
      <c r="N227" s="28"/>
      <c r="O227" s="28"/>
      <c r="P227" s="130"/>
    </row>
    <row r="228" spans="2:16">
      <c r="B228" s="129"/>
      <c r="C228" s="179" t="s">
        <v>193</v>
      </c>
      <c r="D228" s="179" t="s">
        <v>185</v>
      </c>
      <c r="E228" s="179" t="b">
        <v>0</v>
      </c>
      <c r="F228" s="179" t="s">
        <v>187</v>
      </c>
      <c r="G228" s="179" t="s">
        <v>180</v>
      </c>
      <c r="H228" s="43" t="str">
        <f t="shared" si="5"/>
        <v>Mixed|FALSE|600to700|DrainedArGr</v>
      </c>
      <c r="I228" s="125">
        <v>0.56310991419635348</v>
      </c>
      <c r="J228" s="35">
        <v>16.868599367400005</v>
      </c>
      <c r="K228" s="27"/>
      <c r="L228" s="28"/>
      <c r="M228" s="28"/>
      <c r="N228" s="28"/>
      <c r="O228" s="28"/>
      <c r="P228" s="130"/>
    </row>
    <row r="229" spans="2:16">
      <c r="B229" s="129"/>
      <c r="C229" s="179" t="s">
        <v>193</v>
      </c>
      <c r="D229" s="179" t="s">
        <v>185</v>
      </c>
      <c r="E229" s="179" t="b">
        <v>0</v>
      </c>
      <c r="F229" s="179" t="s">
        <v>177</v>
      </c>
      <c r="G229" s="179" t="s">
        <v>178</v>
      </c>
      <c r="H229" s="43" t="str">
        <f t="shared" si="5"/>
        <v>Mixed|FALSE|700to900|FreeDrain</v>
      </c>
      <c r="I229" s="125">
        <v>0.12937816625358486</v>
      </c>
      <c r="J229" s="35">
        <v>27.983785176065883</v>
      </c>
      <c r="K229" s="27"/>
      <c r="L229" s="28"/>
      <c r="M229" s="28"/>
      <c r="N229" s="28"/>
      <c r="O229" s="28"/>
      <c r="P229" s="130"/>
    </row>
    <row r="230" spans="2:16">
      <c r="B230" s="129"/>
      <c r="C230" s="179" t="s">
        <v>193</v>
      </c>
      <c r="D230" s="179" t="s">
        <v>185</v>
      </c>
      <c r="E230" s="179" t="b">
        <v>1</v>
      </c>
      <c r="F230" s="179" t="s">
        <v>177</v>
      </c>
      <c r="G230" s="179" t="s">
        <v>178</v>
      </c>
      <c r="H230" s="43" t="str">
        <f t="shared" si="5"/>
        <v>Mixed|TRUE|700to900|FreeDrain</v>
      </c>
      <c r="I230" s="125">
        <v>0.12921588846902868</v>
      </c>
      <c r="J230" s="35">
        <v>27.843988577750139</v>
      </c>
      <c r="K230" s="27"/>
      <c r="L230" s="28"/>
      <c r="M230" s="28"/>
      <c r="N230" s="28"/>
      <c r="O230" s="28"/>
      <c r="P230" s="130"/>
    </row>
    <row r="231" spans="2:16">
      <c r="B231" s="129"/>
      <c r="C231" s="179" t="s">
        <v>193</v>
      </c>
      <c r="D231" s="179" t="s">
        <v>185</v>
      </c>
      <c r="E231" s="179" t="b">
        <v>0</v>
      </c>
      <c r="F231" s="179" t="s">
        <v>177</v>
      </c>
      <c r="G231" s="179" t="s">
        <v>179</v>
      </c>
      <c r="H231" s="43" t="str">
        <f t="shared" si="5"/>
        <v>Mixed|FALSE|700to900|DrainedAr</v>
      </c>
      <c r="I231" s="125">
        <v>0.573705148522202</v>
      </c>
      <c r="J231" s="35">
        <v>21.448254947724799</v>
      </c>
      <c r="K231" s="27"/>
      <c r="L231" s="28"/>
      <c r="M231" s="28"/>
      <c r="N231" s="28"/>
      <c r="O231" s="28"/>
      <c r="P231" s="130"/>
    </row>
    <row r="232" spans="2:16">
      <c r="B232" s="129"/>
      <c r="C232" s="179" t="s">
        <v>193</v>
      </c>
      <c r="D232" s="179" t="s">
        <v>185</v>
      </c>
      <c r="E232" s="179" t="b">
        <v>1</v>
      </c>
      <c r="F232" s="179" t="s">
        <v>177</v>
      </c>
      <c r="G232" s="179" t="s">
        <v>179</v>
      </c>
      <c r="H232" s="43" t="str">
        <f t="shared" si="5"/>
        <v>Mixed|TRUE|700to900|DrainedAr</v>
      </c>
      <c r="I232" s="125">
        <v>0.57269724509792053</v>
      </c>
      <c r="J232" s="35">
        <v>21.28847405597816</v>
      </c>
      <c r="K232" s="27"/>
      <c r="L232" s="28"/>
      <c r="M232" s="28"/>
      <c r="N232" s="28"/>
      <c r="O232" s="28"/>
      <c r="P232" s="130"/>
    </row>
    <row r="233" spans="2:16">
      <c r="B233" s="129"/>
      <c r="C233" s="179" t="s">
        <v>193</v>
      </c>
      <c r="D233" s="179" t="s">
        <v>185</v>
      </c>
      <c r="E233" s="179" t="b">
        <v>0</v>
      </c>
      <c r="F233" s="179" t="s">
        <v>177</v>
      </c>
      <c r="G233" s="179" t="s">
        <v>180</v>
      </c>
      <c r="H233" s="43" t="str">
        <f t="shared" si="5"/>
        <v>Mixed|FALSE|700to900|DrainedArGr</v>
      </c>
      <c r="I233" s="125">
        <v>0.95403010343979333</v>
      </c>
      <c r="J233" s="35">
        <v>18.779161146083169</v>
      </c>
      <c r="K233" s="27"/>
      <c r="L233" s="28"/>
      <c r="M233" s="28"/>
      <c r="N233" s="28"/>
      <c r="O233" s="28"/>
      <c r="P233" s="130"/>
    </row>
    <row r="234" spans="2:16">
      <c r="B234" s="129"/>
      <c r="C234" s="179" t="s">
        <v>193</v>
      </c>
      <c r="D234" s="179" t="s">
        <v>185</v>
      </c>
      <c r="E234" s="179" t="b">
        <v>1</v>
      </c>
      <c r="F234" s="179" t="s">
        <v>177</v>
      </c>
      <c r="G234" s="179" t="s">
        <v>180</v>
      </c>
      <c r="H234" s="43" t="str">
        <f t="shared" si="5"/>
        <v>Mixed|TRUE|700to900|DrainedArGr</v>
      </c>
      <c r="I234" s="125">
        <v>0.9515704227561218</v>
      </c>
      <c r="J234" s="35">
        <v>18.617982557894031</v>
      </c>
      <c r="K234" s="27"/>
      <c r="L234" s="28"/>
      <c r="M234" s="28"/>
      <c r="N234" s="28"/>
      <c r="O234" s="28"/>
      <c r="P234" s="130"/>
    </row>
    <row r="235" spans="2:16">
      <c r="B235" s="129"/>
      <c r="C235" s="179" t="s">
        <v>196</v>
      </c>
      <c r="D235" s="179" t="s">
        <v>196</v>
      </c>
      <c r="E235" s="179" t="s">
        <v>196</v>
      </c>
      <c r="F235" s="179" t="s">
        <v>196</v>
      </c>
      <c r="G235" s="193" t="s">
        <v>197</v>
      </c>
      <c r="H235" s="43" t="str">
        <f>"|"&amp;"|"&amp;"|"&amp;G235</f>
        <v>|||Greenspace</v>
      </c>
      <c r="I235" s="194">
        <v>0.02</v>
      </c>
      <c r="J235" s="35">
        <v>3</v>
      </c>
      <c r="K235" s="27"/>
      <c r="L235" s="27"/>
      <c r="M235" s="27"/>
      <c r="N235" s="27"/>
      <c r="O235" s="27"/>
      <c r="P235" s="130"/>
    </row>
    <row r="236" spans="2:16">
      <c r="B236" s="129"/>
      <c r="C236" s="179" t="s">
        <v>196</v>
      </c>
      <c r="D236" s="179" t="s">
        <v>196</v>
      </c>
      <c r="E236" s="179" t="s">
        <v>196</v>
      </c>
      <c r="F236" s="179" t="s">
        <v>196</v>
      </c>
      <c r="G236" s="193" t="s">
        <v>198</v>
      </c>
      <c r="H236" s="43" t="str">
        <f>"|"&amp;"|"&amp;"|"&amp;G236</f>
        <v>|||Community food growing</v>
      </c>
      <c r="I236" s="180">
        <f>IFERROR(VLOOKUP((VLOOKUP('Stage 2'!$E$9,Lookups!$C$272:$D$275,2,FALSE)&amp;"|"&amp;"General"&amp;"|"&amp;"FALSE"&amp;"|"&amp;VLOOKUP('Stage 2'!$E$11,Lookups!$C$246:$E$268,3,FALSE)&amp;"|"&amp;"FreeDrain"),$H$30:$O$142,2,FALSE),IFERROR(VLOOKUP("General"&amp;"|"&amp;VLOOKUP('Stage 2'!$E$11,Lookups!$C$246:$E$268,3,FALSE),$K$30:$O$142,2,FALSE),VLOOKUP("General",D30:O142,11,FALSE)))</f>
        <v>0.26891526205705735</v>
      </c>
      <c r="J236" s="181">
        <f>IFERROR(VLOOKUP((VLOOKUP('Stage 2'!$E$9,Lookups!$C$272:$D$275,2,FALSE)&amp;"|"&amp;"General"&amp;"|"&amp;"FALSE"&amp;"|"&amp;VLOOKUP('Stage 2'!$E$11,Lookups!$C$246:$E$268,3,FALSE)&amp;"|"&amp;"FreeDrain"),$H$30:$O$142,3,FALSE),IFERROR(VLOOKUP("General"&amp;"|"&amp;VLOOKUP('Stage 2'!$E$11,Lookups!$C$246:$E$268,3,FALSE),$K$30:$O$142,3,FALSE),VLOOKUP("General",D30:O142,12,FALSE)))</f>
        <v>19.897337872458642</v>
      </c>
      <c r="K236" s="27"/>
      <c r="L236" s="27"/>
      <c r="M236" s="27"/>
      <c r="N236" s="27"/>
      <c r="O236" s="27"/>
      <c r="P236" s="130"/>
    </row>
    <row r="237" spans="2:16">
      <c r="B237" s="129"/>
      <c r="C237" s="179" t="s">
        <v>196</v>
      </c>
      <c r="D237" s="179" t="s">
        <v>196</v>
      </c>
      <c r="E237" s="179" t="s">
        <v>196</v>
      </c>
      <c r="F237" s="179" t="s">
        <v>196</v>
      </c>
      <c r="G237" s="193" t="s">
        <v>199</v>
      </c>
      <c r="H237" s="43" t="str">
        <f>"|"&amp;"|"&amp;"|"&amp;G237</f>
        <v>|||Woodland</v>
      </c>
      <c r="I237" s="194">
        <v>0.02</v>
      </c>
      <c r="J237" s="35">
        <v>3</v>
      </c>
      <c r="K237" s="27"/>
      <c r="L237" s="27"/>
      <c r="M237" s="27"/>
      <c r="N237" s="27"/>
      <c r="O237" s="27"/>
      <c r="P237" s="130"/>
    </row>
    <row r="238" spans="2:16">
      <c r="B238" s="129"/>
      <c r="C238" s="179" t="s">
        <v>196</v>
      </c>
      <c r="D238" s="179" t="s">
        <v>196</v>
      </c>
      <c r="E238" s="179" t="s">
        <v>196</v>
      </c>
      <c r="F238" s="179" t="s">
        <v>196</v>
      </c>
      <c r="G238" s="193" t="s">
        <v>200</v>
      </c>
      <c r="H238" s="43" t="str">
        <f>"|"&amp;"|"&amp;"|"&amp;G238</f>
        <v>|||Shrub</v>
      </c>
      <c r="I238" s="194">
        <v>0.02</v>
      </c>
      <c r="J238" s="35">
        <v>3</v>
      </c>
      <c r="K238" s="27"/>
      <c r="L238" s="27"/>
      <c r="M238" s="27"/>
      <c r="N238" s="27"/>
      <c r="O238" s="27"/>
      <c r="P238" s="130"/>
    </row>
    <row r="239" spans="2:16">
      <c r="B239" s="129"/>
      <c r="C239" s="179" t="s">
        <v>196</v>
      </c>
      <c r="D239" s="179" t="s">
        <v>196</v>
      </c>
      <c r="E239" s="179" t="s">
        <v>196</v>
      </c>
      <c r="F239" s="179" t="s">
        <v>196</v>
      </c>
      <c r="G239" s="193" t="s">
        <v>201</v>
      </c>
      <c r="H239" s="43" t="str">
        <f>"|"&amp;"|"&amp;"|"&amp;G239</f>
        <v>|||Water</v>
      </c>
      <c r="I239" s="194">
        <v>0</v>
      </c>
      <c r="J239" s="35">
        <v>0</v>
      </c>
      <c r="K239" s="27"/>
      <c r="L239" s="27"/>
      <c r="M239" s="27"/>
      <c r="N239" s="27"/>
      <c r="O239" s="27"/>
      <c r="P239" s="130"/>
    </row>
    <row r="240" spans="2:16">
      <c r="B240" s="129"/>
      <c r="C240" s="179" t="s">
        <v>196</v>
      </c>
      <c r="D240" s="179" t="s">
        <v>196</v>
      </c>
      <c r="E240" s="179" t="s">
        <v>196</v>
      </c>
      <c r="F240" s="179" t="s">
        <v>196</v>
      </c>
      <c r="G240" s="43" t="s">
        <v>202</v>
      </c>
      <c r="H240" s="43" t="str">
        <f t="shared" ref="H240:H242" si="6">"|"&amp;"|"&amp;"|"&amp;G240</f>
        <v>|||Residential urban land</v>
      </c>
      <c r="I240" s="125" t="e">
        <f>VLOOKUP('Stage 2'!E11,Lookups!C246:H268,6,FALSE)</f>
        <v>#N/A</v>
      </c>
      <c r="J240" s="35" t="e">
        <f>VLOOKUP('Stage 2'!E11,Lookups!C246:K268,9,FALSE)</f>
        <v>#N/A</v>
      </c>
      <c r="K240" s="27"/>
      <c r="L240" s="27"/>
      <c r="M240" s="27"/>
      <c r="N240" s="27"/>
      <c r="O240" s="27"/>
      <c r="P240" s="130"/>
    </row>
    <row r="241" spans="2:16">
      <c r="B241" s="129"/>
      <c r="C241" s="179" t="s">
        <v>196</v>
      </c>
      <c r="D241" s="179" t="s">
        <v>196</v>
      </c>
      <c r="E241" s="179" t="s">
        <v>196</v>
      </c>
      <c r="F241" s="179" t="s">
        <v>196</v>
      </c>
      <c r="G241" s="43" t="s">
        <v>203</v>
      </c>
      <c r="H241" s="43" t="str">
        <f t="shared" si="6"/>
        <v>|||Commercial/industrial urban land</v>
      </c>
      <c r="I241" s="125" t="e">
        <f>VLOOKUP('Stage 2'!E11,Lookups!C246:I268,7,FALSE)</f>
        <v>#N/A</v>
      </c>
      <c r="J241" s="35" t="e">
        <f>VLOOKUP('Stage 2'!E11,Lookups!C246:M268,10,FALSE)</f>
        <v>#N/A</v>
      </c>
      <c r="K241" s="27"/>
      <c r="L241" s="27"/>
      <c r="M241" s="27"/>
      <c r="N241" s="27"/>
      <c r="O241" s="27"/>
      <c r="P241" s="130"/>
    </row>
    <row r="242" spans="2:16">
      <c r="B242" s="129"/>
      <c r="C242" s="179" t="s">
        <v>196</v>
      </c>
      <c r="D242" s="179" t="s">
        <v>196</v>
      </c>
      <c r="E242" s="179" t="s">
        <v>196</v>
      </c>
      <c r="F242" s="179" t="s">
        <v>196</v>
      </c>
      <c r="G242" s="43" t="s">
        <v>204</v>
      </c>
      <c r="H242" s="43" t="str">
        <f t="shared" si="6"/>
        <v>|||Open urban land</v>
      </c>
      <c r="I242" s="125" t="e">
        <f>VLOOKUP('Stage 2'!E11,Lookups!C246:J268,8,FALSE)</f>
        <v>#N/A</v>
      </c>
      <c r="J242" s="35" t="e">
        <f>VLOOKUP('Stage 2'!E11,Lookups!C246:P268,11,FALSE)</f>
        <v>#N/A</v>
      </c>
      <c r="K242" s="27"/>
      <c r="L242" s="27"/>
      <c r="M242" s="27"/>
      <c r="N242" s="27"/>
      <c r="O242" s="27"/>
      <c r="P242" s="130"/>
    </row>
    <row r="243" spans="2:16">
      <c r="B243" s="129"/>
      <c r="C243" s="27"/>
      <c r="D243" s="27"/>
      <c r="E243" s="27"/>
      <c r="F243" s="27"/>
      <c r="G243" s="27"/>
      <c r="H243" s="27"/>
      <c r="I243" s="28"/>
      <c r="J243" s="28"/>
      <c r="K243" s="27"/>
      <c r="L243" s="27"/>
      <c r="M243" s="27"/>
      <c r="N243" s="27"/>
      <c r="O243" s="27"/>
      <c r="P243" s="130"/>
    </row>
    <row r="244" spans="2:16">
      <c r="B244" s="129"/>
      <c r="C244" s="27" t="s">
        <v>205</v>
      </c>
      <c r="D244" s="27"/>
      <c r="E244" s="27"/>
      <c r="F244" s="27"/>
      <c r="G244" s="27"/>
      <c r="H244" s="27"/>
      <c r="I244" s="28"/>
      <c r="J244" s="28"/>
      <c r="K244" s="27"/>
      <c r="L244" s="27"/>
      <c r="M244" s="27"/>
      <c r="N244" s="27"/>
      <c r="O244" s="27"/>
      <c r="P244" s="130"/>
    </row>
    <row r="245" spans="2:16" ht="30.75" thickBot="1">
      <c r="B245" s="129"/>
      <c r="C245" s="33" t="s">
        <v>206</v>
      </c>
      <c r="D245" s="45" t="s">
        <v>207</v>
      </c>
      <c r="E245" s="45" t="s">
        <v>208</v>
      </c>
      <c r="F245" s="45" t="s">
        <v>209</v>
      </c>
      <c r="G245" s="45" t="s">
        <v>210</v>
      </c>
      <c r="H245" s="45" t="s">
        <v>211</v>
      </c>
      <c r="I245" s="45" t="s">
        <v>212</v>
      </c>
      <c r="J245" s="45" t="s">
        <v>213</v>
      </c>
      <c r="K245" s="45" t="s">
        <v>214</v>
      </c>
      <c r="L245" s="33" t="s">
        <v>215</v>
      </c>
      <c r="M245" s="127" t="s">
        <v>216</v>
      </c>
      <c r="N245" s="15"/>
      <c r="O245" s="15"/>
      <c r="P245" s="130"/>
    </row>
    <row r="246" spans="2:16" ht="15.75" thickTop="1">
      <c r="B246" s="129"/>
      <c r="C246" s="46" t="s">
        <v>217</v>
      </c>
      <c r="D246" s="180">
        <v>516.5</v>
      </c>
      <c r="E246" s="48" t="s">
        <v>191</v>
      </c>
      <c r="F246" s="180">
        <v>47.366326420209788</v>
      </c>
      <c r="G246" s="180">
        <v>63.946326420209786</v>
      </c>
      <c r="H246" s="180">
        <v>1.0030530114375726</v>
      </c>
      <c r="I246" s="180">
        <v>0.73394122788115068</v>
      </c>
      <c r="J246" s="180">
        <v>0.5382235671128438</v>
      </c>
      <c r="K246" s="180">
        <v>9.4130591148709328</v>
      </c>
      <c r="L246" s="182">
        <v>5.0202981945978298</v>
      </c>
      <c r="M246" s="181">
        <v>5.5487506361344439</v>
      </c>
      <c r="N246" s="183"/>
      <c r="O246" s="183"/>
      <c r="P246" s="130"/>
    </row>
    <row r="247" spans="2:16">
      <c r="B247" s="129"/>
      <c r="C247" s="46" t="s">
        <v>218</v>
      </c>
      <c r="D247" s="180">
        <v>537.54999999999995</v>
      </c>
      <c r="E247" s="48" t="s">
        <v>191</v>
      </c>
      <c r="F247" s="180">
        <v>47.605509573313697</v>
      </c>
      <c r="G247" s="180">
        <v>64.185509573313695</v>
      </c>
      <c r="H247" s="180">
        <v>1.049204008516526</v>
      </c>
      <c r="I247" s="180">
        <v>0.76771025013404326</v>
      </c>
      <c r="J247" s="180">
        <v>0.56298751676496517</v>
      </c>
      <c r="K247" s="180">
        <v>9.8333323912734105</v>
      </c>
      <c r="L247" s="182">
        <v>5.2444439420124853</v>
      </c>
      <c r="M247" s="181">
        <v>5.7964906727506413</v>
      </c>
      <c r="N247" s="183"/>
      <c r="O247" s="183"/>
      <c r="P247" s="130"/>
    </row>
    <row r="248" spans="2:16">
      <c r="B248" s="129"/>
      <c r="C248" s="46" t="s">
        <v>219</v>
      </c>
      <c r="D248" s="180">
        <v>562.54999999999995</v>
      </c>
      <c r="E248" s="48" t="s">
        <v>191</v>
      </c>
      <c r="F248" s="180">
        <v>47.8624816470968</v>
      </c>
      <c r="G248" s="180">
        <v>64.442481647096798</v>
      </c>
      <c r="H248" s="180">
        <v>1.1039266010735462</v>
      </c>
      <c r="I248" s="180">
        <v>0.80775117151722908</v>
      </c>
      <c r="J248" s="180">
        <v>0.59235085911263463</v>
      </c>
      <c r="K248" s="180">
        <v>10.331853644413675</v>
      </c>
      <c r="L248" s="182">
        <v>5.5103219436872939</v>
      </c>
      <c r="M248" s="181">
        <v>6.0903558324964822</v>
      </c>
      <c r="N248" s="183"/>
      <c r="O248" s="183"/>
      <c r="P248" s="130"/>
    </row>
    <row r="249" spans="2:16">
      <c r="B249" s="129"/>
      <c r="C249" s="46" t="s">
        <v>220</v>
      </c>
      <c r="D249" s="180">
        <v>587.54999999999995</v>
      </c>
      <c r="E249" s="48" t="s">
        <v>191</v>
      </c>
      <c r="F249" s="180">
        <v>48.089720428979902</v>
      </c>
      <c r="G249" s="180">
        <v>64.6697204289799</v>
      </c>
      <c r="H249" s="180">
        <v>1.1584597247599329</v>
      </c>
      <c r="I249" s="180">
        <v>0.84765345714141427</v>
      </c>
      <c r="J249" s="180">
        <v>0.62161253523703719</v>
      </c>
      <c r="K249" s="180">
        <v>10.829057857843434</v>
      </c>
      <c r="L249" s="182">
        <v>5.775497524183165</v>
      </c>
      <c r="M249" s="181">
        <v>6.3834446319919191</v>
      </c>
      <c r="N249" s="183"/>
      <c r="O249" s="183"/>
      <c r="P249" s="130"/>
    </row>
    <row r="250" spans="2:16">
      <c r="B250" s="129"/>
      <c r="C250" s="46" t="s">
        <v>221</v>
      </c>
      <c r="D250" s="180">
        <v>612.54999999999995</v>
      </c>
      <c r="E250" s="48" t="s">
        <v>187</v>
      </c>
      <c r="F250" s="180">
        <v>48.286892468962989</v>
      </c>
      <c r="G250" s="180">
        <v>64.866892468962988</v>
      </c>
      <c r="H250" s="180">
        <v>1.2127035752563942</v>
      </c>
      <c r="I250" s="180">
        <v>0.88734407945589822</v>
      </c>
      <c r="J250" s="180">
        <v>0.650718991600992</v>
      </c>
      <c r="K250" s="180">
        <v>11.324251269831036</v>
      </c>
      <c r="L250" s="182">
        <v>6.0396006772432189</v>
      </c>
      <c r="M250" s="181">
        <v>6.6753481169530309</v>
      </c>
      <c r="N250" s="183"/>
      <c r="O250" s="183"/>
      <c r="P250" s="130"/>
    </row>
    <row r="251" spans="2:16">
      <c r="B251" s="129"/>
      <c r="C251" s="46" t="s">
        <v>222</v>
      </c>
      <c r="D251" s="180">
        <v>637.54999999999995</v>
      </c>
      <c r="E251" s="48" t="s">
        <v>187</v>
      </c>
      <c r="F251" s="180">
        <v>48.453664317046091</v>
      </c>
      <c r="G251" s="180">
        <v>65.033664317046089</v>
      </c>
      <c r="H251" s="180">
        <v>1.2665569810986419</v>
      </c>
      <c r="I251" s="180">
        <v>0.92674901055998193</v>
      </c>
      <c r="J251" s="180">
        <v>0.67961594107732015</v>
      </c>
      <c r="K251" s="180">
        <v>11.816730615319829</v>
      </c>
      <c r="L251" s="182">
        <v>6.302256328170575</v>
      </c>
      <c r="M251" s="181">
        <v>6.9656517311358979</v>
      </c>
      <c r="N251" s="183"/>
      <c r="O251" s="183"/>
      <c r="P251" s="130"/>
    </row>
    <row r="252" spans="2:16">
      <c r="B252" s="129"/>
      <c r="C252" s="46" t="s">
        <v>223</v>
      </c>
      <c r="D252" s="180">
        <v>662.55</v>
      </c>
      <c r="E252" s="48" t="s">
        <v>187</v>
      </c>
      <c r="F252" s="180">
        <v>48.589702523229192</v>
      </c>
      <c r="G252" s="180">
        <v>65.169702523229191</v>
      </c>
      <c r="H252" s="180">
        <v>1.3199174036773855</v>
      </c>
      <c r="I252" s="180">
        <v>0.96579322220296504</v>
      </c>
      <c r="J252" s="180">
        <v>0.70824836294884108</v>
      </c>
      <c r="K252" s="180">
        <v>12.305783125928167</v>
      </c>
      <c r="L252" s="182">
        <v>6.5630843338283551</v>
      </c>
      <c r="M252" s="181">
        <v>7.2539353163366025</v>
      </c>
      <c r="N252" s="183"/>
      <c r="O252" s="183"/>
      <c r="P252" s="130"/>
    </row>
    <row r="253" spans="2:16">
      <c r="B253" s="129"/>
      <c r="C253" s="46" t="s">
        <v>224</v>
      </c>
      <c r="D253" s="180">
        <v>687.55</v>
      </c>
      <c r="E253" s="48" t="s">
        <v>187</v>
      </c>
      <c r="F253" s="180">
        <v>48.694673637512295</v>
      </c>
      <c r="G253" s="180">
        <v>65.274673637512294</v>
      </c>
      <c r="H253" s="180">
        <v>1.3726809372383346</v>
      </c>
      <c r="I253" s="180">
        <v>1.0044006857841474</v>
      </c>
      <c r="J253" s="180">
        <v>0.73656050290837471</v>
      </c>
      <c r="K253" s="180">
        <v>12.790686529949399</v>
      </c>
      <c r="L253" s="182">
        <v>6.82169948263968</v>
      </c>
      <c r="M253" s="181">
        <v>7.5397731123912237</v>
      </c>
      <c r="N253" s="183"/>
      <c r="O253" s="183"/>
      <c r="P253" s="130"/>
    </row>
    <row r="254" spans="2:16">
      <c r="B254" s="129"/>
      <c r="C254" s="46" t="s">
        <v>225</v>
      </c>
      <c r="D254" s="180">
        <v>725.05</v>
      </c>
      <c r="E254" s="48" t="s">
        <v>177</v>
      </c>
      <c r="F254" s="180">
        <v>48.793150089749446</v>
      </c>
      <c r="G254" s="180">
        <v>65.373150089749444</v>
      </c>
      <c r="H254" s="180">
        <v>1.4504764123754863</v>
      </c>
      <c r="I254" s="180">
        <v>1.0613242041771849</v>
      </c>
      <c r="J254" s="180">
        <v>0.77830441639660242</v>
      </c>
      <c r="K254" s="180">
        <v>13.508658704683258</v>
      </c>
      <c r="L254" s="182">
        <v>7.20461797583107</v>
      </c>
      <c r="M254" s="181">
        <v>7.9629988153922353</v>
      </c>
      <c r="N254" s="183"/>
      <c r="O254" s="183"/>
      <c r="P254" s="130"/>
    </row>
    <row r="255" spans="2:16">
      <c r="B255" s="129"/>
      <c r="C255" s="46" t="s">
        <v>226</v>
      </c>
      <c r="D255" s="180">
        <v>775.05</v>
      </c>
      <c r="E255" s="48" t="s">
        <v>177</v>
      </c>
      <c r="F255" s="180">
        <v>48.817999999999984</v>
      </c>
      <c r="G255" s="180">
        <v>65.397999999999982</v>
      </c>
      <c r="H255" s="180">
        <v>1.5512920268999992</v>
      </c>
      <c r="I255" s="180">
        <v>1.1350917269999994</v>
      </c>
      <c r="J255" s="180">
        <v>0.83240059979999959</v>
      </c>
      <c r="K255" s="180">
        <v>14.445715171499996</v>
      </c>
      <c r="L255" s="182">
        <v>7.7043814247999975</v>
      </c>
      <c r="M255" s="181">
        <v>8.5153689431999986</v>
      </c>
      <c r="N255" s="183"/>
      <c r="O255" s="183"/>
      <c r="P255" s="130"/>
    </row>
    <row r="256" spans="2:16">
      <c r="B256" s="129"/>
      <c r="C256" s="46" t="s">
        <v>227</v>
      </c>
      <c r="D256" s="180">
        <v>825.05</v>
      </c>
      <c r="E256" s="48" t="s">
        <v>177</v>
      </c>
      <c r="F256" s="180">
        <v>48.817999999999984</v>
      </c>
      <c r="G256" s="180">
        <v>65.397999999999982</v>
      </c>
      <c r="H256" s="180">
        <v>1.6513689268999994</v>
      </c>
      <c r="I256" s="180">
        <v>1.2083187269999995</v>
      </c>
      <c r="J256" s="180">
        <v>0.88610039979999966</v>
      </c>
      <c r="K256" s="180">
        <v>15.377636671499994</v>
      </c>
      <c r="L256" s="182">
        <v>8.2014062247999959</v>
      </c>
      <c r="M256" s="181">
        <v>9.064712143199996</v>
      </c>
      <c r="N256" s="183"/>
      <c r="O256" s="183"/>
      <c r="P256" s="130"/>
    </row>
    <row r="257" spans="2:16">
      <c r="B257" s="129"/>
      <c r="C257" s="46" t="s">
        <v>228</v>
      </c>
      <c r="D257" s="180">
        <v>875.05</v>
      </c>
      <c r="E257" s="48" t="s">
        <v>177</v>
      </c>
      <c r="F257" s="180">
        <v>48.817999999999984</v>
      </c>
      <c r="G257" s="180">
        <v>65.397999999999982</v>
      </c>
      <c r="H257" s="180">
        <v>1.7514458268999995</v>
      </c>
      <c r="I257" s="180">
        <v>1.2815457269999997</v>
      </c>
      <c r="J257" s="180">
        <v>0.93980019979999974</v>
      </c>
      <c r="K257" s="180">
        <v>16.309558171499994</v>
      </c>
      <c r="L257" s="182">
        <v>8.6984310247999979</v>
      </c>
      <c r="M257" s="181">
        <v>9.6140553431999969</v>
      </c>
      <c r="N257" s="183"/>
      <c r="O257" s="183"/>
      <c r="P257" s="130"/>
    </row>
    <row r="258" spans="2:16">
      <c r="B258" s="129"/>
      <c r="C258" s="46" t="s">
        <v>229</v>
      </c>
      <c r="D258" s="180">
        <v>925.05</v>
      </c>
      <c r="E258" s="48" t="s">
        <v>189</v>
      </c>
      <c r="F258" s="180">
        <v>48.817999999999984</v>
      </c>
      <c r="G258" s="180">
        <v>65.397999999999982</v>
      </c>
      <c r="H258" s="180">
        <v>1.851522726899999</v>
      </c>
      <c r="I258" s="180">
        <v>1.3547727269999992</v>
      </c>
      <c r="J258" s="180">
        <v>0.99349999979999948</v>
      </c>
      <c r="K258" s="180">
        <v>17.241479671499995</v>
      </c>
      <c r="L258" s="182">
        <v>9.1954558247999962</v>
      </c>
      <c r="M258" s="181">
        <v>10.163398543199996</v>
      </c>
      <c r="N258" s="183"/>
      <c r="O258" s="183"/>
      <c r="P258" s="130"/>
    </row>
    <row r="259" spans="2:16">
      <c r="B259" s="129"/>
      <c r="C259" s="46" t="s">
        <v>230</v>
      </c>
      <c r="D259" s="180">
        <v>975.05</v>
      </c>
      <c r="E259" s="48" t="s">
        <v>189</v>
      </c>
      <c r="F259" s="180">
        <v>48.817999999999984</v>
      </c>
      <c r="G259" s="180">
        <v>65.397999999999982</v>
      </c>
      <c r="H259" s="180">
        <v>1.9515996268999991</v>
      </c>
      <c r="I259" s="180">
        <v>1.4279997269999993</v>
      </c>
      <c r="J259" s="180">
        <v>1.0471997997999996</v>
      </c>
      <c r="K259" s="180">
        <v>18.173401171499993</v>
      </c>
      <c r="L259" s="182">
        <v>9.6924806247999964</v>
      </c>
      <c r="M259" s="181">
        <v>10.712741743199995</v>
      </c>
      <c r="N259" s="183"/>
      <c r="O259" s="183"/>
      <c r="P259" s="130"/>
    </row>
    <row r="260" spans="2:16">
      <c r="B260" s="129"/>
      <c r="C260" s="46" t="s">
        <v>231</v>
      </c>
      <c r="D260" s="180">
        <v>1050.05</v>
      </c>
      <c r="E260" s="48" t="s">
        <v>189</v>
      </c>
      <c r="F260" s="180">
        <v>48.817999999999984</v>
      </c>
      <c r="G260" s="180">
        <v>65.397999999999982</v>
      </c>
      <c r="H260" s="180">
        <v>2.101714976899999</v>
      </c>
      <c r="I260" s="180">
        <v>1.5378402269999993</v>
      </c>
      <c r="J260" s="180">
        <v>1.1277494997999997</v>
      </c>
      <c r="K260" s="180">
        <v>19.571283421499995</v>
      </c>
      <c r="L260" s="182">
        <v>10.438017824799996</v>
      </c>
      <c r="M260" s="181">
        <v>11.536756543199996</v>
      </c>
      <c r="N260" s="183"/>
      <c r="O260" s="183"/>
      <c r="P260" s="130"/>
    </row>
    <row r="261" spans="2:16">
      <c r="B261" s="129"/>
      <c r="C261" s="46" t="s">
        <v>232</v>
      </c>
      <c r="D261" s="180">
        <v>1150.05</v>
      </c>
      <c r="E261" s="48" t="s">
        <v>189</v>
      </c>
      <c r="F261" s="180">
        <v>48.817999999999984</v>
      </c>
      <c r="G261" s="180">
        <v>65.397999999999982</v>
      </c>
      <c r="H261" s="180">
        <v>2.3018687768999988</v>
      </c>
      <c r="I261" s="180">
        <v>1.6842942269999992</v>
      </c>
      <c r="J261" s="180">
        <v>1.2351490997999994</v>
      </c>
      <c r="K261" s="180">
        <v>21.435126421499994</v>
      </c>
      <c r="L261" s="182">
        <v>11.432067424799996</v>
      </c>
      <c r="M261" s="181">
        <v>12.635442943199996</v>
      </c>
      <c r="N261" s="183"/>
      <c r="O261" s="183"/>
      <c r="P261" s="130"/>
    </row>
    <row r="262" spans="2:16">
      <c r="B262" s="129"/>
      <c r="C262" s="46" t="s">
        <v>233</v>
      </c>
      <c r="D262" s="180">
        <v>1300.05</v>
      </c>
      <c r="E262" s="48" t="s">
        <v>234</v>
      </c>
      <c r="F262" s="180">
        <v>48.817999999999984</v>
      </c>
      <c r="G262" s="180">
        <v>65.397999999999982</v>
      </c>
      <c r="H262" s="180">
        <v>2.602099476899999</v>
      </c>
      <c r="I262" s="180">
        <v>1.9039752269999992</v>
      </c>
      <c r="J262" s="180">
        <v>1.3962484997999995</v>
      </c>
      <c r="K262" s="180">
        <v>24.230890921499991</v>
      </c>
      <c r="L262" s="182">
        <v>12.923141824799995</v>
      </c>
      <c r="M262" s="181">
        <v>14.283472543199993</v>
      </c>
      <c r="N262" s="183"/>
      <c r="O262" s="183"/>
      <c r="P262" s="130"/>
    </row>
    <row r="263" spans="2:16">
      <c r="B263" s="129"/>
      <c r="C263" s="46" t="s">
        <v>235</v>
      </c>
      <c r="D263" s="180">
        <v>1500.05</v>
      </c>
      <c r="E263" s="48" t="s">
        <v>234</v>
      </c>
      <c r="F263" s="180">
        <v>48.817999999999984</v>
      </c>
      <c r="G263" s="180">
        <v>65.397999999999982</v>
      </c>
      <c r="H263" s="180">
        <v>3.0024070768999986</v>
      </c>
      <c r="I263" s="180">
        <v>2.1968832269999989</v>
      </c>
      <c r="J263" s="180">
        <v>1.6110476997999994</v>
      </c>
      <c r="K263" s="180">
        <v>27.95857692149999</v>
      </c>
      <c r="L263" s="182">
        <v>14.911241024799995</v>
      </c>
      <c r="M263" s="181">
        <v>16.480845343199995</v>
      </c>
      <c r="N263" s="183"/>
      <c r="O263" s="183"/>
      <c r="P263" s="130"/>
    </row>
    <row r="264" spans="2:16">
      <c r="B264" s="129"/>
      <c r="C264" s="46" t="s">
        <v>236</v>
      </c>
      <c r="D264" s="180">
        <v>1800.05</v>
      </c>
      <c r="E264" s="48" t="s">
        <v>192</v>
      </c>
      <c r="F264" s="180">
        <v>48.817999999999984</v>
      </c>
      <c r="G264" s="180">
        <v>65.397999999999982</v>
      </c>
      <c r="H264" s="180">
        <v>3.6028684768999981</v>
      </c>
      <c r="I264" s="180">
        <v>2.6362452269999985</v>
      </c>
      <c r="J264" s="180">
        <v>1.9332464997999992</v>
      </c>
      <c r="K264" s="180">
        <v>33.550105921499991</v>
      </c>
      <c r="L264" s="182">
        <v>17.893389824799996</v>
      </c>
      <c r="M264" s="181">
        <v>19.776904543199993</v>
      </c>
      <c r="N264" s="183"/>
      <c r="O264" s="183"/>
      <c r="P264" s="130"/>
    </row>
    <row r="265" spans="2:16">
      <c r="B265" s="129"/>
      <c r="C265" s="46" t="s">
        <v>237</v>
      </c>
      <c r="D265" s="180">
        <v>2200.0500000000002</v>
      </c>
      <c r="E265" s="48" t="s">
        <v>192</v>
      </c>
      <c r="F265" s="180">
        <v>48.817999999999984</v>
      </c>
      <c r="G265" s="180">
        <v>65.397999999999982</v>
      </c>
      <c r="H265" s="180">
        <v>4.4034836768999988</v>
      </c>
      <c r="I265" s="180">
        <v>3.2220612269999993</v>
      </c>
      <c r="J265" s="180">
        <v>2.3628448997999998</v>
      </c>
      <c r="K265" s="180">
        <v>41.005477921499988</v>
      </c>
      <c r="L265" s="182">
        <v>21.869588224799994</v>
      </c>
      <c r="M265" s="181">
        <v>24.17165014319999</v>
      </c>
      <c r="N265" s="183"/>
      <c r="O265" s="183"/>
      <c r="P265" s="130"/>
    </row>
    <row r="266" spans="2:16">
      <c r="B266" s="129"/>
      <c r="C266" s="46" t="s">
        <v>238</v>
      </c>
      <c r="D266" s="180">
        <v>2700.05</v>
      </c>
      <c r="E266" s="48" t="s">
        <v>192</v>
      </c>
      <c r="F266" s="180">
        <v>48.817999999999984</v>
      </c>
      <c r="G266" s="180">
        <v>65.397999999999982</v>
      </c>
      <c r="H266" s="180">
        <v>5.4042526768999988</v>
      </c>
      <c r="I266" s="180">
        <v>3.9543312269999986</v>
      </c>
      <c r="J266" s="180">
        <v>2.8998428997999994</v>
      </c>
      <c r="K266" s="180">
        <v>50.324692921499988</v>
      </c>
      <c r="L266" s="182">
        <v>26.839836224799992</v>
      </c>
      <c r="M266" s="181">
        <v>29.665082143199992</v>
      </c>
      <c r="N266" s="183"/>
      <c r="O266" s="183"/>
      <c r="P266" s="130"/>
    </row>
    <row r="267" spans="2:16">
      <c r="B267" s="129"/>
      <c r="C267" s="46" t="s">
        <v>239</v>
      </c>
      <c r="D267" s="180">
        <v>3500.05</v>
      </c>
      <c r="E267" s="48" t="s">
        <v>192</v>
      </c>
      <c r="F267" s="180">
        <v>48.817999999999984</v>
      </c>
      <c r="G267" s="180">
        <v>65.397999999999982</v>
      </c>
      <c r="H267" s="180">
        <v>7.0054830768999983</v>
      </c>
      <c r="I267" s="180">
        <v>5.1259632269999988</v>
      </c>
      <c r="J267" s="180">
        <v>3.7590396997999993</v>
      </c>
      <c r="K267" s="180">
        <v>65.235436921499982</v>
      </c>
      <c r="L267" s="182">
        <v>34.792233024799991</v>
      </c>
      <c r="M267" s="181">
        <v>38.454573343199982</v>
      </c>
      <c r="N267" s="183"/>
      <c r="O267" s="183"/>
      <c r="P267" s="130"/>
    </row>
    <row r="268" spans="2:16">
      <c r="B268" s="129"/>
      <c r="C268" s="46" t="s">
        <v>240</v>
      </c>
      <c r="D268" s="180">
        <v>4750.05</v>
      </c>
      <c r="E268" s="48" t="s">
        <v>192</v>
      </c>
      <c r="F268" s="180">
        <v>48.817999999999984</v>
      </c>
      <c r="G268" s="180">
        <v>65.397999999999982</v>
      </c>
      <c r="H268" s="180">
        <v>9.5074055768999965</v>
      </c>
      <c r="I268" s="180">
        <v>6.9566382269999973</v>
      </c>
      <c r="J268" s="180">
        <v>5.1015346997999984</v>
      </c>
      <c r="K268" s="180">
        <v>88.533474421499989</v>
      </c>
      <c r="L268" s="182">
        <v>47.217853024799986</v>
      </c>
      <c r="M268" s="181">
        <v>52.188153343199986</v>
      </c>
      <c r="N268" s="183"/>
      <c r="O268" s="183"/>
      <c r="P268" s="130"/>
    </row>
    <row r="269" spans="2:16">
      <c r="B269" s="129"/>
      <c r="C269" s="27"/>
      <c r="D269" s="27"/>
      <c r="E269" s="27"/>
      <c r="F269" s="27"/>
      <c r="G269" s="27"/>
      <c r="H269" s="27"/>
      <c r="I269" s="28"/>
      <c r="J269" s="28"/>
      <c r="K269" s="27"/>
      <c r="L269" s="27"/>
      <c r="M269" s="27"/>
      <c r="N269" s="27"/>
      <c r="O269" s="27"/>
      <c r="P269" s="130"/>
    </row>
    <row r="270" spans="2:16">
      <c r="B270" s="129"/>
      <c r="C270" s="27" t="s">
        <v>241</v>
      </c>
      <c r="D270" s="27"/>
      <c r="E270" s="27"/>
      <c r="F270" s="27"/>
      <c r="G270" s="27" t="s">
        <v>242</v>
      </c>
      <c r="H270" s="27"/>
      <c r="I270" s="27" t="s">
        <v>243</v>
      </c>
      <c r="J270" s="28"/>
      <c r="K270" s="27"/>
      <c r="L270" s="27"/>
      <c r="M270" s="27"/>
      <c r="N270" s="27"/>
      <c r="O270" s="27"/>
      <c r="P270" s="130"/>
    </row>
    <row r="271" spans="2:16" ht="15.75" thickBot="1">
      <c r="B271" s="129"/>
      <c r="C271" s="33" t="s">
        <v>244</v>
      </c>
      <c r="D271" s="39" t="s">
        <v>245</v>
      </c>
      <c r="E271" s="27"/>
      <c r="F271" s="27"/>
      <c r="G271" s="36" t="s">
        <v>246</v>
      </c>
      <c r="H271" s="27"/>
      <c r="I271" s="36" t="s">
        <v>247</v>
      </c>
      <c r="J271" s="28"/>
      <c r="K271" s="27"/>
      <c r="L271" s="27"/>
      <c r="M271" s="27"/>
      <c r="N271" s="27"/>
      <c r="O271" s="27"/>
      <c r="P271" s="130"/>
    </row>
    <row r="272" spans="2:16" ht="15.75" thickTop="1">
      <c r="B272" s="129"/>
      <c r="C272" s="220" t="s">
        <v>186</v>
      </c>
      <c r="D272" s="37" t="s">
        <v>186</v>
      </c>
      <c r="E272" s="27"/>
      <c r="F272" s="27"/>
      <c r="G272" s="186" t="s">
        <v>176</v>
      </c>
      <c r="H272" s="27"/>
      <c r="I272" s="186" t="s">
        <v>176</v>
      </c>
      <c r="J272" s="28"/>
      <c r="K272" s="27"/>
      <c r="L272" s="27"/>
      <c r="M272" s="27"/>
      <c r="N272" s="27"/>
      <c r="O272" s="27"/>
      <c r="P272" s="130"/>
    </row>
    <row r="273" spans="2:16">
      <c r="B273" s="129"/>
      <c r="C273" s="34" t="s">
        <v>175</v>
      </c>
      <c r="D273" s="37" t="s">
        <v>175</v>
      </c>
      <c r="E273" s="27"/>
      <c r="F273" s="27"/>
      <c r="G273" s="37" t="s">
        <v>181</v>
      </c>
      <c r="H273" s="27"/>
      <c r="I273" s="37" t="s">
        <v>181</v>
      </c>
      <c r="J273" s="28"/>
      <c r="K273" s="27"/>
      <c r="L273" s="27"/>
      <c r="M273" s="27"/>
      <c r="N273" s="27"/>
      <c r="O273" s="27"/>
      <c r="P273" s="130"/>
    </row>
    <row r="274" spans="2:16">
      <c r="B274" s="129"/>
      <c r="C274" s="34" t="s">
        <v>190</v>
      </c>
      <c r="D274" s="37" t="s">
        <v>190</v>
      </c>
      <c r="E274" s="27"/>
      <c r="F274" s="27"/>
      <c r="G274" s="37" t="s">
        <v>182</v>
      </c>
      <c r="H274" s="27"/>
      <c r="I274" s="37" t="s">
        <v>182</v>
      </c>
      <c r="J274" s="28"/>
      <c r="K274" s="27"/>
      <c r="L274" s="27"/>
      <c r="M274" s="27"/>
      <c r="N274" s="27"/>
      <c r="O274" s="27"/>
      <c r="P274" s="130"/>
    </row>
    <row r="275" spans="2:16">
      <c r="B275" s="129"/>
      <c r="C275" s="34" t="s">
        <v>188</v>
      </c>
      <c r="D275" s="37" t="s">
        <v>188</v>
      </c>
      <c r="E275" s="27"/>
      <c r="F275" s="27"/>
      <c r="G275" s="37" t="s">
        <v>194</v>
      </c>
      <c r="H275" s="27"/>
      <c r="I275" s="37" t="s">
        <v>183</v>
      </c>
      <c r="J275" s="28"/>
      <c r="K275" s="27"/>
      <c r="L275" s="27"/>
      <c r="M275" s="27"/>
      <c r="N275" s="27"/>
      <c r="O275" s="27"/>
      <c r="P275" s="130"/>
    </row>
    <row r="276" spans="2:16">
      <c r="B276" s="129"/>
      <c r="C276" s="1"/>
      <c r="D276" s="1"/>
      <c r="E276" s="27"/>
      <c r="F276" s="27"/>
      <c r="G276" s="37" t="s">
        <v>183</v>
      </c>
      <c r="H276" s="27"/>
      <c r="I276" s="37" t="s">
        <v>184</v>
      </c>
      <c r="J276" s="28"/>
      <c r="K276" s="27"/>
      <c r="L276" s="27"/>
      <c r="M276" s="27"/>
      <c r="N276" s="27"/>
      <c r="O276" s="27"/>
      <c r="P276" s="130"/>
    </row>
    <row r="277" spans="2:16">
      <c r="B277" s="129"/>
      <c r="C277" s="27"/>
      <c r="D277" s="27"/>
      <c r="E277" s="27"/>
      <c r="F277" s="27"/>
      <c r="G277" s="37" t="s">
        <v>195</v>
      </c>
      <c r="H277" s="27"/>
      <c r="I277" s="37" t="s">
        <v>185</v>
      </c>
      <c r="J277" s="27"/>
      <c r="K277" s="27"/>
      <c r="L277" s="27"/>
      <c r="M277" s="27"/>
      <c r="N277" s="27"/>
      <c r="O277" s="27"/>
      <c r="P277" s="130"/>
    </row>
    <row r="278" spans="2:16">
      <c r="B278" s="129"/>
      <c r="C278" s="27" t="s">
        <v>248</v>
      </c>
      <c r="D278" s="27"/>
      <c r="E278" s="27"/>
      <c r="F278" s="27"/>
      <c r="G278" s="37" t="s">
        <v>249</v>
      </c>
      <c r="H278" s="29"/>
      <c r="I278" s="38" t="s">
        <v>197</v>
      </c>
      <c r="J278" s="27"/>
      <c r="K278" s="27"/>
      <c r="L278" s="27"/>
      <c r="M278" s="27"/>
      <c r="N278" s="27"/>
      <c r="O278" s="27"/>
      <c r="P278" s="130"/>
    </row>
    <row r="279" spans="2:16" ht="15.75" thickBot="1">
      <c r="B279" s="129"/>
      <c r="C279" s="32" t="s">
        <v>250</v>
      </c>
      <c r="D279" s="31" t="s">
        <v>251</v>
      </c>
      <c r="E279" s="41" t="s">
        <v>252</v>
      </c>
      <c r="F279" s="27"/>
      <c r="G279" s="37" t="s">
        <v>184</v>
      </c>
      <c r="H279" s="27"/>
      <c r="I279" s="38" t="s">
        <v>199</v>
      </c>
      <c r="J279" s="27"/>
      <c r="K279" s="27"/>
      <c r="L279" s="27"/>
      <c r="M279" s="27"/>
      <c r="N279" s="27"/>
      <c r="O279" s="27"/>
      <c r="P279" s="130"/>
    </row>
    <row r="280" spans="2:16" ht="15.75" thickTop="1">
      <c r="B280" s="129"/>
      <c r="C280" s="42" t="s">
        <v>253</v>
      </c>
      <c r="D280" s="43" t="s">
        <v>178</v>
      </c>
      <c r="E280" s="40" t="s">
        <v>254</v>
      </c>
      <c r="F280" s="27"/>
      <c r="G280" s="37" t="s">
        <v>185</v>
      </c>
      <c r="H280" s="27"/>
      <c r="I280" s="38" t="s">
        <v>200</v>
      </c>
      <c r="J280" s="27"/>
      <c r="K280" s="27"/>
      <c r="L280" s="27"/>
      <c r="M280" s="27"/>
      <c r="N280" s="27"/>
      <c r="O280" s="27"/>
      <c r="P280" s="130"/>
    </row>
    <row r="281" spans="2:16">
      <c r="B281" s="129"/>
      <c r="C281" s="42" t="s">
        <v>255</v>
      </c>
      <c r="D281" s="43" t="s">
        <v>179</v>
      </c>
      <c r="E281" s="40" t="s">
        <v>256</v>
      </c>
      <c r="F281" s="27"/>
      <c r="G281" s="38" t="s">
        <v>197</v>
      </c>
      <c r="H281" s="27"/>
      <c r="I281" s="38" t="s">
        <v>201</v>
      </c>
      <c r="J281" s="27"/>
      <c r="K281" s="27"/>
      <c r="L281" s="27"/>
      <c r="M281" s="27"/>
      <c r="N281" s="27"/>
      <c r="O281" s="27"/>
      <c r="P281" s="130"/>
    </row>
    <row r="282" spans="2:16">
      <c r="B282" s="129"/>
      <c r="C282" s="42" t="s">
        <v>257</v>
      </c>
      <c r="D282" s="43" t="s">
        <v>180</v>
      </c>
      <c r="E282" s="40" t="s">
        <v>258</v>
      </c>
      <c r="F282" s="27"/>
      <c r="G282" s="38" t="s">
        <v>199</v>
      </c>
      <c r="H282" s="27"/>
      <c r="I282" s="37" t="s">
        <v>202</v>
      </c>
      <c r="J282" s="27"/>
      <c r="K282" s="27"/>
      <c r="L282" s="27"/>
      <c r="M282" s="27"/>
      <c r="N282" s="27"/>
      <c r="O282" s="27"/>
      <c r="P282" s="130"/>
    </row>
    <row r="283" spans="2:16">
      <c r="B283" s="129"/>
      <c r="C283" s="34" t="s">
        <v>259</v>
      </c>
      <c r="D283" s="43" t="s">
        <v>179</v>
      </c>
      <c r="E283" s="40" t="s">
        <v>256</v>
      </c>
      <c r="F283" s="27"/>
      <c r="G283" s="38" t="s">
        <v>200</v>
      </c>
      <c r="H283" s="27"/>
      <c r="I283" s="37" t="s">
        <v>260</v>
      </c>
      <c r="J283" s="27"/>
      <c r="K283" s="27"/>
      <c r="L283" s="27"/>
      <c r="M283" s="27"/>
      <c r="N283" s="27"/>
      <c r="O283" s="27"/>
      <c r="P283" s="130"/>
    </row>
    <row r="284" spans="2:16">
      <c r="B284" s="129"/>
      <c r="C284" s="34" t="s">
        <v>261</v>
      </c>
      <c r="D284" s="43" t="s">
        <v>179</v>
      </c>
      <c r="E284" s="40" t="s">
        <v>256</v>
      </c>
      <c r="F284" s="27"/>
      <c r="G284" s="38" t="s">
        <v>201</v>
      </c>
      <c r="H284" s="27"/>
      <c r="I284" s="37" t="s">
        <v>204</v>
      </c>
      <c r="J284" s="27"/>
      <c r="K284" s="27"/>
      <c r="L284" s="27"/>
      <c r="M284" s="27"/>
      <c r="N284" s="27"/>
      <c r="O284" s="27"/>
      <c r="P284" s="130"/>
    </row>
    <row r="285" spans="2:16">
      <c r="B285" s="129"/>
      <c r="C285" s="42" t="s">
        <v>262</v>
      </c>
      <c r="D285" s="43" t="s">
        <v>179</v>
      </c>
      <c r="E285" s="37" t="s">
        <v>256</v>
      </c>
      <c r="F285" s="27"/>
      <c r="G285" s="37" t="s">
        <v>202</v>
      </c>
      <c r="H285" s="27"/>
      <c r="I285" s="30" t="s">
        <v>198</v>
      </c>
      <c r="J285" s="27"/>
      <c r="K285" s="27"/>
      <c r="L285" s="27"/>
      <c r="M285" s="27"/>
      <c r="N285" s="27"/>
      <c r="O285" s="27"/>
      <c r="P285" s="130"/>
    </row>
    <row r="286" spans="2:16">
      <c r="B286" s="129"/>
      <c r="C286" s="27"/>
      <c r="D286" s="28"/>
      <c r="E286" s="27"/>
      <c r="F286" s="27"/>
      <c r="G286" s="37" t="s">
        <v>260</v>
      </c>
      <c r="H286" s="27"/>
      <c r="I286"/>
      <c r="J286" s="27"/>
      <c r="K286" s="27"/>
      <c r="L286" s="27"/>
      <c r="M286" s="27"/>
      <c r="N286" s="27"/>
      <c r="O286" s="27"/>
      <c r="P286" s="130"/>
    </row>
    <row r="287" spans="2:16">
      <c r="B287" s="129"/>
      <c r="C287" s="27" t="s">
        <v>263</v>
      </c>
      <c r="D287" s="28"/>
      <c r="E287" s="27"/>
      <c r="F287" s="27"/>
      <c r="G287" s="37" t="s">
        <v>204</v>
      </c>
      <c r="H287" s="27"/>
      <c r="I287"/>
      <c r="J287" s="27"/>
      <c r="K287" s="27"/>
      <c r="L287" s="27"/>
      <c r="M287" s="27"/>
      <c r="N287" s="27"/>
      <c r="O287" s="27"/>
      <c r="P287" s="130"/>
    </row>
    <row r="288" spans="2:16" ht="15.75" thickBot="1">
      <c r="B288" s="129"/>
      <c r="C288" s="184" t="s">
        <v>164</v>
      </c>
      <c r="D288" s="36" t="s">
        <v>245</v>
      </c>
      <c r="E288" s="27"/>
      <c r="F288" s="27"/>
      <c r="G288" s="30" t="s">
        <v>198</v>
      </c>
      <c r="H288" s="27"/>
      <c r="I288" s="22"/>
      <c r="J288" s="27"/>
      <c r="K288" s="27"/>
      <c r="L288" s="27"/>
      <c r="M288" s="27"/>
      <c r="N288" s="27"/>
      <c r="O288" s="27"/>
      <c r="P288" s="130"/>
    </row>
    <row r="289" spans="2:16" ht="15.75" thickTop="1">
      <c r="B289" s="129"/>
      <c r="C289" s="34" t="s">
        <v>264</v>
      </c>
      <c r="D289" s="35" t="b">
        <v>1</v>
      </c>
      <c r="E289" s="27"/>
      <c r="F289" s="27"/>
      <c r="G289"/>
      <c r="H289" s="27"/>
      <c r="I289" s="195"/>
      <c r="J289" s="27"/>
      <c r="K289" s="27"/>
      <c r="L289" s="27"/>
      <c r="M289" s="27"/>
      <c r="N289" s="27"/>
      <c r="O289" s="27"/>
      <c r="P289" s="130"/>
    </row>
    <row r="290" spans="2:16">
      <c r="B290" s="129"/>
      <c r="C290" s="34" t="s">
        <v>265</v>
      </c>
      <c r="D290" s="35" t="b">
        <v>0</v>
      </c>
      <c r="E290" s="27"/>
      <c r="F290" s="27"/>
      <c r="G290"/>
      <c r="H290" s="27"/>
      <c r="I290" s="195"/>
      <c r="J290" s="27"/>
      <c r="K290" s="27"/>
      <c r="L290" s="27"/>
      <c r="M290" s="27"/>
      <c r="N290" s="27"/>
      <c r="O290" s="27"/>
      <c r="P290" s="130"/>
    </row>
    <row r="291" spans="2:16">
      <c r="B291" s="129"/>
      <c r="C291" s="27"/>
      <c r="D291" s="28"/>
      <c r="E291" s="28"/>
      <c r="F291" s="27"/>
      <c r="G291" s="22"/>
      <c r="H291" s="27"/>
      <c r="I291" s="22"/>
      <c r="J291" s="22"/>
      <c r="K291" s="22"/>
      <c r="L291" s="22"/>
      <c r="M291" s="22"/>
      <c r="N291" s="22"/>
      <c r="O291" s="22"/>
      <c r="P291" s="130"/>
    </row>
    <row r="292" spans="2:16" ht="15.75" thickBot="1">
      <c r="B292" s="196"/>
      <c r="C292" s="170"/>
      <c r="D292" s="171"/>
      <c r="E292" s="171"/>
      <c r="F292" s="170"/>
      <c r="G292" s="172"/>
      <c r="H292" s="172"/>
      <c r="I292" s="172"/>
      <c r="J292" s="172"/>
      <c r="K292" s="172"/>
      <c r="L292" s="172"/>
      <c r="M292" s="172"/>
      <c r="N292" s="172"/>
      <c r="O292" s="172"/>
      <c r="P292" s="197"/>
    </row>
    <row r="293" spans="2:16" ht="15.75" thickTop="1">
      <c r="F293" s="37"/>
      <c r="H293" s="30"/>
    </row>
    <row r="294" spans="2:16">
      <c r="F294" s="37"/>
      <c r="G294" s="37"/>
      <c r="H294" s="37"/>
      <c r="I294" s="35"/>
      <c r="J294" s="35"/>
      <c r="K294" s="30"/>
    </row>
    <row r="295" spans="2:16">
      <c r="F295" s="37"/>
      <c r="G295" s="37"/>
      <c r="H295" s="37"/>
      <c r="I295" s="35"/>
      <c r="J295" s="35"/>
      <c r="K295" s="30"/>
    </row>
    <row r="296" spans="2:16">
      <c r="F296" s="37"/>
      <c r="G296" s="37"/>
      <c r="H296" s="37"/>
      <c r="I296" s="35"/>
      <c r="J296" s="35"/>
      <c r="K296" s="30"/>
    </row>
    <row r="297" spans="2:16">
      <c r="F297" s="37"/>
      <c r="G297" s="37"/>
      <c r="H297" s="37"/>
      <c r="I297" s="35"/>
      <c r="J297" s="35"/>
      <c r="K297" s="30"/>
    </row>
    <row r="298" spans="2:16">
      <c r="F298" s="37"/>
      <c r="G298" s="37"/>
      <c r="H298" s="37"/>
      <c r="I298" s="35"/>
      <c r="J298" s="35"/>
      <c r="K298" s="30"/>
    </row>
    <row r="299" spans="2:16">
      <c r="F299" s="37"/>
      <c r="G299" s="37"/>
      <c r="H299" s="37"/>
      <c r="I299" s="35"/>
      <c r="J299" s="35"/>
      <c r="K299" s="30"/>
    </row>
    <row r="300" spans="2:16">
      <c r="F300" s="37"/>
      <c r="G300" s="37"/>
      <c r="H300" s="37"/>
      <c r="I300" s="35"/>
      <c r="J300" s="35"/>
      <c r="K300" s="30"/>
    </row>
    <row r="301" spans="2:16">
      <c r="F301" s="37"/>
      <c r="G301" s="37"/>
      <c r="H301" s="37"/>
      <c r="I301" s="35"/>
      <c r="J301" s="35"/>
      <c r="K301" s="30"/>
    </row>
    <row r="302" spans="2:16">
      <c r="F302" s="37"/>
      <c r="G302" s="37"/>
      <c r="H302" s="37"/>
      <c r="I302" s="35"/>
      <c r="J302" s="35"/>
      <c r="K302" s="30"/>
    </row>
    <row r="303" spans="2:16">
      <c r="F303" s="37"/>
      <c r="G303" s="37"/>
      <c r="H303" s="37"/>
      <c r="I303" s="35"/>
      <c r="J303" s="35"/>
      <c r="K303" s="30"/>
    </row>
    <row r="304" spans="2:16">
      <c r="F304" s="37"/>
      <c r="G304" s="37"/>
      <c r="H304" s="37"/>
      <c r="I304" s="35"/>
      <c r="J304" s="35"/>
      <c r="K304" s="30"/>
    </row>
    <row r="305" spans="6:16">
      <c r="F305" s="37"/>
      <c r="G305" s="37"/>
      <c r="H305" s="37"/>
      <c r="I305" s="35"/>
      <c r="J305" s="35"/>
      <c r="K305" s="30"/>
    </row>
    <row r="306" spans="6:16">
      <c r="F306" s="37"/>
      <c r="G306" s="37"/>
      <c r="H306" s="37"/>
      <c r="I306" s="35"/>
      <c r="J306" s="35"/>
      <c r="K306" s="30"/>
    </row>
    <row r="307" spans="6:16">
      <c r="F307" s="37"/>
      <c r="G307" s="37"/>
      <c r="H307" s="37"/>
      <c r="I307" s="35"/>
      <c r="J307" s="35"/>
      <c r="K307" s="30"/>
    </row>
    <row r="308" spans="6:16">
      <c r="F308" s="37"/>
      <c r="G308" s="37"/>
      <c r="H308" s="37"/>
      <c r="I308" s="35"/>
      <c r="J308" s="35"/>
      <c r="K308" s="30"/>
    </row>
    <row r="309" spans="6:16">
      <c r="F309" s="37"/>
      <c r="G309" s="37"/>
      <c r="H309" s="37"/>
      <c r="I309" s="35"/>
      <c r="J309" s="35"/>
      <c r="K309" s="30"/>
    </row>
    <row r="310" spans="6:16">
      <c r="F310" s="37"/>
      <c r="G310" s="37"/>
      <c r="H310" s="37"/>
      <c r="I310" s="35"/>
      <c r="J310" s="35"/>
      <c r="K310" s="30"/>
      <c r="L310" s="30"/>
      <c r="M310" s="30"/>
      <c r="N310" s="30"/>
      <c r="O310" s="30"/>
      <c r="P310" s="30"/>
    </row>
  </sheetData>
  <sheetProtection algorithmName="SHA-512" hashValue="yXU8cd+Zg3uxzt8ktl7sdx76jB6MhtxYGx/HHMYqHofYRiefwm780Txif1rgx+Rdmi2pM/dUUsCzyNH3gjLBig==" saltValue="WAzmuZBH2iqIH+LN+Iualw==" spinCount="100000" sheet="1" objects="1" scenarios="1"/>
  <mergeCells count="1">
    <mergeCell ref="B2:P4"/>
  </mergeCells>
  <phoneticPr fontId="29" type="noConversion"/>
  <dataValidations count="1">
    <dataValidation allowBlank="1" showInputMessage="1" showErrorMessage="1" prompt="This value is dependent on the rainfall volume." sqref="I240:J242 I236:J236" xr:uid="{5683ECF9-B236-43B7-B2FD-F42CED51FC31}"/>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B786A-DDB5-4B1C-B331-1FC22A931244}">
  <dimension ref="B2:N121"/>
  <sheetViews>
    <sheetView showRowColHeaders="0" zoomScaleNormal="100" workbookViewId="0">
      <selection activeCell="P35" sqref="P35"/>
    </sheetView>
  </sheetViews>
  <sheetFormatPr defaultColWidth="9.140625" defaultRowHeight="15"/>
  <cols>
    <col min="1" max="13" width="9.140625" style="133"/>
    <col min="14" max="14" width="1.7109375" style="133" customWidth="1"/>
    <col min="15" max="16384" width="9.140625" style="133"/>
  </cols>
  <sheetData>
    <row r="2" spans="2:14" ht="15.75" thickBot="1"/>
    <row r="3" spans="2:14" ht="15.75" customHeight="1" thickTop="1">
      <c r="B3" s="224" t="s">
        <v>1</v>
      </c>
      <c r="C3" s="225"/>
      <c r="D3" s="225"/>
      <c r="E3" s="225"/>
      <c r="F3" s="225"/>
      <c r="G3" s="225"/>
      <c r="H3" s="225"/>
      <c r="I3" s="225"/>
      <c r="J3" s="225"/>
      <c r="K3" s="225"/>
      <c r="L3" s="225"/>
      <c r="M3" s="225"/>
      <c r="N3" s="226"/>
    </row>
    <row r="4" spans="2:14" ht="15" customHeight="1">
      <c r="B4" s="227"/>
      <c r="C4" s="228"/>
      <c r="D4" s="228"/>
      <c r="E4" s="228"/>
      <c r="F4" s="228"/>
      <c r="G4" s="228"/>
      <c r="H4" s="228"/>
      <c r="I4" s="228"/>
      <c r="J4" s="228"/>
      <c r="K4" s="228"/>
      <c r="L4" s="228"/>
      <c r="M4" s="228"/>
      <c r="N4" s="229"/>
    </row>
    <row r="5" spans="2:14" ht="15" customHeight="1">
      <c r="B5" s="227"/>
      <c r="C5" s="228"/>
      <c r="D5" s="228"/>
      <c r="E5" s="228"/>
      <c r="F5" s="228"/>
      <c r="G5" s="228"/>
      <c r="H5" s="228"/>
      <c r="I5" s="228"/>
      <c r="J5" s="228"/>
      <c r="K5" s="228"/>
      <c r="L5" s="228"/>
      <c r="M5" s="228"/>
      <c r="N5" s="229"/>
    </row>
    <row r="6" spans="2:14" ht="8.25" customHeight="1">
      <c r="B6" s="128"/>
      <c r="C6" s="1"/>
      <c r="D6" s="1"/>
      <c r="E6" s="1"/>
      <c r="F6" s="1"/>
      <c r="G6" s="1"/>
      <c r="H6" s="1"/>
      <c r="I6" s="1"/>
      <c r="J6" s="1"/>
      <c r="K6" s="1"/>
      <c r="L6" s="1"/>
      <c r="M6" s="1"/>
      <c r="N6" s="118"/>
    </row>
    <row r="7" spans="2:14" ht="56.25" customHeight="1">
      <c r="B7" s="230" t="s">
        <v>2</v>
      </c>
      <c r="C7" s="231"/>
      <c r="D7" s="231"/>
      <c r="E7" s="231"/>
      <c r="F7" s="231"/>
      <c r="G7" s="231"/>
      <c r="H7" s="231"/>
      <c r="I7" s="231"/>
      <c r="J7" s="231"/>
      <c r="K7" s="231"/>
      <c r="L7" s="231"/>
      <c r="M7" s="231"/>
      <c r="N7" s="118"/>
    </row>
    <row r="8" spans="2:14" ht="59.25" customHeight="1">
      <c r="B8" s="232" t="s">
        <v>3</v>
      </c>
      <c r="C8" s="233"/>
      <c r="D8" s="233"/>
      <c r="E8" s="233"/>
      <c r="F8" s="233"/>
      <c r="G8" s="233"/>
      <c r="H8" s="233"/>
      <c r="I8" s="233"/>
      <c r="J8" s="233"/>
      <c r="K8" s="233"/>
      <c r="L8" s="233"/>
      <c r="M8" s="233"/>
      <c r="N8" s="118"/>
    </row>
    <row r="9" spans="2:14">
      <c r="B9" s="129"/>
      <c r="C9" s="22"/>
      <c r="D9" s="22"/>
      <c r="E9" s="22"/>
      <c r="F9" s="22"/>
      <c r="G9" s="22"/>
      <c r="H9" s="22"/>
      <c r="I9" s="22"/>
      <c r="J9" s="22"/>
      <c r="K9" s="22"/>
      <c r="L9" s="22"/>
      <c r="M9" s="22"/>
      <c r="N9" s="118"/>
    </row>
    <row r="10" spans="2:14">
      <c r="B10" s="129"/>
      <c r="C10" s="22"/>
      <c r="D10" s="22"/>
      <c r="E10" s="22"/>
      <c r="F10" s="22"/>
      <c r="G10" s="22"/>
      <c r="H10" s="22"/>
      <c r="I10" s="22"/>
      <c r="J10" s="22"/>
      <c r="K10" s="22"/>
      <c r="L10" s="22"/>
      <c r="M10" s="22"/>
      <c r="N10" s="118"/>
    </row>
    <row r="11" spans="2:14">
      <c r="B11" s="129"/>
      <c r="C11" s="22"/>
      <c r="D11" s="22"/>
      <c r="E11" s="22"/>
      <c r="F11" s="22"/>
      <c r="G11" s="22"/>
      <c r="H11" s="22"/>
      <c r="I11" s="22"/>
      <c r="J11" s="22"/>
      <c r="K11" s="22"/>
      <c r="L11" s="22"/>
      <c r="M11" s="22"/>
      <c r="N11" s="118"/>
    </row>
    <row r="12" spans="2:14">
      <c r="B12" s="129"/>
      <c r="C12" s="22"/>
      <c r="D12" s="22"/>
      <c r="E12" s="22"/>
      <c r="F12" s="22"/>
      <c r="G12" s="22"/>
      <c r="H12" s="22"/>
      <c r="I12" s="22"/>
      <c r="J12" s="22"/>
      <c r="K12" s="22"/>
      <c r="L12" s="22"/>
      <c r="M12" s="22"/>
      <c r="N12" s="118"/>
    </row>
    <row r="13" spans="2:14">
      <c r="B13" s="129"/>
      <c r="C13" s="22"/>
      <c r="D13" s="22"/>
      <c r="E13" s="22"/>
      <c r="F13" s="22"/>
      <c r="G13" s="22"/>
      <c r="H13" s="22"/>
      <c r="I13" s="22"/>
      <c r="J13" s="22"/>
      <c r="K13" s="22"/>
      <c r="L13" s="22"/>
      <c r="M13" s="22"/>
      <c r="N13" s="118"/>
    </row>
    <row r="14" spans="2:14">
      <c r="B14" s="129"/>
      <c r="C14" s="22"/>
      <c r="D14" s="22"/>
      <c r="E14" s="22"/>
      <c r="F14" s="22"/>
      <c r="G14" s="22"/>
      <c r="H14" s="22"/>
      <c r="I14" s="22"/>
      <c r="J14" s="22"/>
      <c r="K14" s="22"/>
      <c r="L14" s="22"/>
      <c r="M14" s="22"/>
      <c r="N14" s="118"/>
    </row>
    <row r="15" spans="2:14">
      <c r="B15" s="129"/>
      <c r="C15" s="22"/>
      <c r="D15" s="22"/>
      <c r="E15" s="22"/>
      <c r="F15" s="22"/>
      <c r="G15" s="22"/>
      <c r="H15" s="22"/>
      <c r="I15" s="22"/>
      <c r="J15" s="22"/>
      <c r="K15" s="22"/>
      <c r="L15" s="22"/>
      <c r="M15" s="22"/>
      <c r="N15" s="118"/>
    </row>
    <row r="16" spans="2:14">
      <c r="B16" s="129"/>
      <c r="C16" s="22"/>
      <c r="D16" s="22"/>
      <c r="E16" s="22"/>
      <c r="F16" s="22"/>
      <c r="G16" s="22"/>
      <c r="H16" s="22"/>
      <c r="I16" s="22"/>
      <c r="J16" s="22"/>
      <c r="K16" s="22"/>
      <c r="L16" s="22"/>
      <c r="M16" s="22"/>
      <c r="N16" s="118"/>
    </row>
    <row r="17" spans="2:14">
      <c r="B17" s="129"/>
      <c r="C17" s="22"/>
      <c r="D17" s="22"/>
      <c r="E17" s="22"/>
      <c r="F17" s="22"/>
      <c r="G17" s="22"/>
      <c r="H17" s="22"/>
      <c r="I17" s="22"/>
      <c r="J17" s="22"/>
      <c r="K17" s="22"/>
      <c r="L17" s="22"/>
      <c r="M17" s="22"/>
      <c r="N17" s="118"/>
    </row>
    <row r="18" spans="2:14">
      <c r="B18" s="129"/>
      <c r="C18" s="22"/>
      <c r="D18" s="22"/>
      <c r="E18" s="22"/>
      <c r="F18" s="22"/>
      <c r="G18" s="22"/>
      <c r="H18" s="22"/>
      <c r="I18" s="22"/>
      <c r="J18" s="22"/>
      <c r="K18" s="22"/>
      <c r="L18" s="22"/>
      <c r="M18" s="22"/>
      <c r="N18" s="118"/>
    </row>
    <row r="19" spans="2:14">
      <c r="B19" s="129"/>
      <c r="C19" s="22"/>
      <c r="D19" s="22"/>
      <c r="E19" s="22"/>
      <c r="F19" s="22"/>
      <c r="G19" s="22"/>
      <c r="H19" s="22"/>
      <c r="I19" s="22"/>
      <c r="J19" s="22"/>
      <c r="K19" s="22"/>
      <c r="L19" s="22"/>
      <c r="M19" s="22"/>
      <c r="N19" s="118"/>
    </row>
    <row r="20" spans="2:14">
      <c r="B20" s="129"/>
      <c r="C20" s="22"/>
      <c r="D20" s="22"/>
      <c r="E20" s="22"/>
      <c r="F20" s="22"/>
      <c r="G20" s="22"/>
      <c r="H20" s="22"/>
      <c r="I20" s="22"/>
      <c r="J20" s="22"/>
      <c r="K20" s="22"/>
      <c r="L20" s="22"/>
      <c r="M20" s="22"/>
      <c r="N20" s="118"/>
    </row>
    <row r="21" spans="2:14">
      <c r="B21" s="129"/>
      <c r="C21" s="22"/>
      <c r="D21" s="22"/>
      <c r="E21" s="22"/>
      <c r="F21" s="22"/>
      <c r="G21" s="22"/>
      <c r="H21" s="22"/>
      <c r="I21" s="22"/>
      <c r="J21" s="22"/>
      <c r="K21" s="22"/>
      <c r="L21" s="22"/>
      <c r="M21" s="22"/>
      <c r="N21" s="118"/>
    </row>
    <row r="22" spans="2:14">
      <c r="B22" s="129"/>
      <c r="C22" s="22"/>
      <c r="D22" s="22"/>
      <c r="E22" s="22"/>
      <c r="F22" s="22"/>
      <c r="G22" s="22"/>
      <c r="H22" s="22"/>
      <c r="I22" s="22"/>
      <c r="J22" s="22"/>
      <c r="K22" s="22"/>
      <c r="L22" s="22"/>
      <c r="M22" s="22"/>
      <c r="N22" s="118"/>
    </row>
    <row r="23" spans="2:14">
      <c r="B23" s="129"/>
      <c r="C23" s="22"/>
      <c r="D23" s="22"/>
      <c r="E23" s="22"/>
      <c r="F23" s="22"/>
      <c r="G23" s="22"/>
      <c r="H23" s="22"/>
      <c r="I23" s="22"/>
      <c r="J23" s="22"/>
      <c r="K23" s="22"/>
      <c r="L23" s="22"/>
      <c r="M23" s="22"/>
      <c r="N23" s="118"/>
    </row>
    <row r="24" spans="2:14">
      <c r="B24" s="129"/>
      <c r="C24" s="22"/>
      <c r="D24" s="22"/>
      <c r="E24" s="22"/>
      <c r="F24" s="22"/>
      <c r="G24" s="22"/>
      <c r="H24" s="22"/>
      <c r="I24" s="22"/>
      <c r="J24" s="22"/>
      <c r="K24" s="22"/>
      <c r="L24" s="22"/>
      <c r="M24" s="22"/>
      <c r="N24" s="118"/>
    </row>
    <row r="25" spans="2:14">
      <c r="B25" s="129"/>
      <c r="C25" s="22"/>
      <c r="D25" s="22"/>
      <c r="E25" s="22"/>
      <c r="F25" s="22"/>
      <c r="G25" s="22"/>
      <c r="H25" s="22"/>
      <c r="I25" s="22"/>
      <c r="J25" s="22"/>
      <c r="K25" s="22"/>
      <c r="L25" s="22"/>
      <c r="M25" s="22"/>
      <c r="N25" s="118"/>
    </row>
    <row r="26" spans="2:14">
      <c r="B26" s="129"/>
      <c r="C26" s="22"/>
      <c r="D26" s="22"/>
      <c r="E26" s="22"/>
      <c r="F26" s="22"/>
      <c r="G26" s="22"/>
      <c r="H26" s="22"/>
      <c r="I26" s="22"/>
      <c r="J26" s="22"/>
      <c r="K26" s="22"/>
      <c r="L26" s="22"/>
      <c r="M26" s="22"/>
      <c r="N26" s="118"/>
    </row>
    <row r="27" spans="2:14">
      <c r="B27" s="129"/>
      <c r="C27" s="22"/>
      <c r="D27" s="22"/>
      <c r="E27" s="22"/>
      <c r="F27" s="22"/>
      <c r="G27" s="22"/>
      <c r="H27" s="22"/>
      <c r="I27" s="22"/>
      <c r="J27" s="22"/>
      <c r="K27" s="22"/>
      <c r="L27" s="22"/>
      <c r="M27" s="22"/>
      <c r="N27" s="118"/>
    </row>
    <row r="28" spans="2:14">
      <c r="B28" s="129"/>
      <c r="C28" s="22"/>
      <c r="D28" s="22"/>
      <c r="E28" s="22"/>
      <c r="F28" s="22"/>
      <c r="G28" s="22"/>
      <c r="H28" s="22"/>
      <c r="I28" s="22"/>
      <c r="J28" s="22"/>
      <c r="K28" s="22"/>
      <c r="L28" s="22"/>
      <c r="M28" s="22"/>
      <c r="N28" s="118"/>
    </row>
    <row r="29" spans="2:14">
      <c r="B29" s="129"/>
      <c r="C29" s="22"/>
      <c r="D29" s="22"/>
      <c r="E29" s="22"/>
      <c r="F29" s="22"/>
      <c r="G29" s="22"/>
      <c r="H29" s="22"/>
      <c r="I29" s="22"/>
      <c r="J29" s="22"/>
      <c r="K29" s="22"/>
      <c r="L29" s="22"/>
      <c r="M29" s="22"/>
      <c r="N29" s="118"/>
    </row>
    <row r="30" spans="2:14">
      <c r="B30" s="129"/>
      <c r="C30" s="22"/>
      <c r="D30" s="22"/>
      <c r="E30" s="22"/>
      <c r="F30" s="22"/>
      <c r="G30" s="22"/>
      <c r="H30" s="22"/>
      <c r="I30" s="22"/>
      <c r="J30" s="22"/>
      <c r="K30" s="22"/>
      <c r="L30" s="22"/>
      <c r="M30" s="22"/>
      <c r="N30" s="118"/>
    </row>
    <row r="31" spans="2:14">
      <c r="B31" s="129"/>
      <c r="C31" s="22"/>
      <c r="D31" s="22"/>
      <c r="E31" s="22"/>
      <c r="F31" s="22"/>
      <c r="G31" s="22"/>
      <c r="H31" s="22"/>
      <c r="I31" s="22"/>
      <c r="J31" s="22"/>
      <c r="K31" s="22"/>
      <c r="L31" s="22"/>
      <c r="M31" s="22"/>
      <c r="N31" s="118"/>
    </row>
    <row r="32" spans="2:14">
      <c r="B32" s="129"/>
      <c r="C32" s="22"/>
      <c r="D32" s="22"/>
      <c r="E32" s="22"/>
      <c r="F32" s="22"/>
      <c r="G32" s="22"/>
      <c r="H32" s="22"/>
      <c r="I32" s="22"/>
      <c r="J32" s="22"/>
      <c r="K32" s="22"/>
      <c r="L32" s="22"/>
      <c r="M32" s="22"/>
      <c r="N32" s="118"/>
    </row>
    <row r="33" spans="2:14">
      <c r="B33" s="129"/>
      <c r="C33" s="22"/>
      <c r="D33" s="22"/>
      <c r="E33" s="22"/>
      <c r="F33" s="22"/>
      <c r="G33" s="22"/>
      <c r="H33" s="22"/>
      <c r="I33" s="22"/>
      <c r="J33" s="22"/>
      <c r="K33" s="22"/>
      <c r="L33" s="22"/>
      <c r="M33" s="22"/>
      <c r="N33" s="118"/>
    </row>
    <row r="34" spans="2:14" ht="57.75" customHeight="1">
      <c r="B34" s="232" t="s">
        <v>4</v>
      </c>
      <c r="C34" s="233"/>
      <c r="D34" s="233"/>
      <c r="E34" s="233"/>
      <c r="F34" s="233"/>
      <c r="G34" s="233"/>
      <c r="H34" s="233"/>
      <c r="I34" s="233"/>
      <c r="J34" s="233"/>
      <c r="K34" s="233"/>
      <c r="L34" s="233"/>
      <c r="M34" s="233"/>
      <c r="N34" s="118"/>
    </row>
    <row r="35" spans="2:14" ht="60" customHeight="1">
      <c r="B35" s="230" t="s">
        <v>5</v>
      </c>
      <c r="C35" s="231"/>
      <c r="D35" s="231"/>
      <c r="E35" s="231"/>
      <c r="F35" s="231"/>
      <c r="G35" s="231"/>
      <c r="H35" s="231"/>
      <c r="I35" s="231"/>
      <c r="J35" s="231"/>
      <c r="K35" s="231"/>
      <c r="L35" s="231"/>
      <c r="M35" s="231"/>
      <c r="N35" s="118"/>
    </row>
    <row r="36" spans="2:14" ht="81.75" customHeight="1" thickBot="1">
      <c r="B36" s="222" t="s">
        <v>6</v>
      </c>
      <c r="C36" s="223"/>
      <c r="D36" s="223"/>
      <c r="E36" s="223"/>
      <c r="F36" s="223"/>
      <c r="G36" s="223"/>
      <c r="H36" s="223"/>
      <c r="I36" s="223"/>
      <c r="J36" s="223"/>
      <c r="K36" s="223"/>
      <c r="L36" s="223"/>
      <c r="M36" s="223"/>
      <c r="N36" s="132"/>
    </row>
    <row r="37" spans="2:14" ht="15.75" thickTop="1">
      <c r="B37" s="30"/>
      <c r="C37" s="30"/>
      <c r="D37" s="30"/>
      <c r="E37" s="30"/>
      <c r="F37" s="30"/>
      <c r="G37" s="30"/>
      <c r="H37" s="30"/>
      <c r="I37" s="30"/>
      <c r="J37" s="30"/>
      <c r="K37" s="30"/>
      <c r="L37" s="30"/>
      <c r="M37" s="30"/>
    </row>
    <row r="38" spans="2:14">
      <c r="B38" s="30"/>
      <c r="C38" s="30"/>
      <c r="D38" s="30"/>
      <c r="E38" s="30"/>
      <c r="F38" s="30"/>
      <c r="G38" s="30"/>
      <c r="H38" s="30"/>
      <c r="I38" s="30"/>
      <c r="J38" s="30"/>
      <c r="K38" s="30"/>
      <c r="L38" s="30"/>
      <c r="M38" s="30"/>
    </row>
    <row r="39" spans="2:14">
      <c r="B39" s="30"/>
      <c r="C39" s="30"/>
      <c r="D39" s="30"/>
      <c r="E39" s="30"/>
      <c r="F39" s="30"/>
      <c r="G39" s="30"/>
      <c r="H39" s="30"/>
      <c r="I39" s="30"/>
      <c r="J39" s="30"/>
      <c r="K39" s="30"/>
      <c r="L39" s="30"/>
      <c r="M39" s="30"/>
    </row>
    <row r="40" spans="2:14">
      <c r="B40" s="30"/>
      <c r="C40" s="30"/>
      <c r="D40" s="30"/>
      <c r="E40" s="30"/>
      <c r="F40" s="30"/>
      <c r="G40" s="30"/>
      <c r="H40" s="30"/>
      <c r="I40" s="30"/>
      <c r="J40" s="30"/>
      <c r="K40" s="30"/>
      <c r="L40" s="30"/>
      <c r="M40" s="30"/>
    </row>
    <row r="41" spans="2:14">
      <c r="B41" s="30"/>
      <c r="C41" s="30"/>
      <c r="D41" s="30"/>
      <c r="E41" s="30"/>
      <c r="F41" s="30"/>
      <c r="G41" s="30"/>
      <c r="H41" s="30"/>
      <c r="I41" s="30"/>
      <c r="J41" s="30"/>
      <c r="K41" s="30"/>
      <c r="L41" s="30"/>
      <c r="M41" s="30"/>
    </row>
    <row r="42" spans="2:14">
      <c r="B42" s="30"/>
      <c r="C42" s="30"/>
      <c r="D42" s="30"/>
      <c r="E42" s="30"/>
      <c r="F42" s="30"/>
      <c r="G42" s="30"/>
      <c r="H42" s="30"/>
      <c r="I42" s="30"/>
      <c r="J42" s="30"/>
      <c r="K42" s="30"/>
      <c r="L42" s="30"/>
      <c r="M42" s="30"/>
    </row>
    <row r="43" spans="2:14">
      <c r="B43" s="30"/>
      <c r="C43" s="30"/>
      <c r="D43" s="30"/>
      <c r="E43" s="30"/>
      <c r="F43" s="30"/>
      <c r="G43" s="30"/>
      <c r="H43" s="30"/>
      <c r="I43" s="30"/>
      <c r="J43" s="30"/>
      <c r="K43" s="30"/>
      <c r="L43" s="30"/>
      <c r="M43" s="30"/>
    </row>
    <row r="44" spans="2:14">
      <c r="B44" s="30"/>
      <c r="C44" s="30"/>
      <c r="D44" s="30"/>
      <c r="E44" s="30"/>
      <c r="F44" s="30"/>
      <c r="G44" s="30"/>
      <c r="H44" s="30"/>
      <c r="I44" s="30"/>
      <c r="J44" s="30"/>
      <c r="K44" s="30"/>
      <c r="L44" s="30"/>
      <c r="M44" s="30"/>
    </row>
    <row r="45" spans="2:14">
      <c r="B45" s="30"/>
      <c r="C45" s="30"/>
      <c r="D45" s="30"/>
      <c r="E45" s="30"/>
      <c r="F45" s="30"/>
      <c r="G45" s="30"/>
      <c r="H45" s="30"/>
      <c r="I45" s="30"/>
      <c r="J45" s="30"/>
      <c r="K45" s="30"/>
      <c r="L45" s="30"/>
      <c r="M45" s="30"/>
    </row>
    <row r="46" spans="2:14">
      <c r="B46" s="30"/>
      <c r="C46" s="30"/>
      <c r="D46" s="30"/>
      <c r="E46" s="30"/>
      <c r="F46" s="30"/>
      <c r="G46" s="30"/>
      <c r="H46" s="30"/>
      <c r="I46" s="30"/>
      <c r="J46" s="30"/>
      <c r="K46" s="30"/>
      <c r="L46" s="30"/>
      <c r="M46" s="30"/>
    </row>
    <row r="47" spans="2:14">
      <c r="B47" s="30"/>
      <c r="C47" s="30"/>
      <c r="D47" s="30"/>
      <c r="E47" s="30"/>
      <c r="F47" s="30"/>
      <c r="G47" s="30"/>
      <c r="H47" s="30"/>
      <c r="I47" s="30"/>
      <c r="J47" s="30"/>
      <c r="K47" s="30"/>
      <c r="L47" s="30"/>
      <c r="M47" s="30"/>
    </row>
    <row r="48" spans="2:14">
      <c r="B48" s="30"/>
      <c r="C48" s="30"/>
      <c r="D48" s="30"/>
      <c r="E48" s="30"/>
      <c r="F48" s="30"/>
      <c r="G48" s="30"/>
      <c r="H48" s="30"/>
      <c r="I48" s="30"/>
      <c r="J48" s="30"/>
      <c r="K48" s="30"/>
      <c r="L48" s="30"/>
      <c r="M48" s="30"/>
    </row>
    <row r="49" spans="2:13">
      <c r="B49" s="30"/>
      <c r="C49" s="30"/>
      <c r="D49" s="30"/>
      <c r="E49" s="30"/>
      <c r="F49" s="30"/>
      <c r="G49" s="30"/>
      <c r="H49" s="30"/>
      <c r="I49" s="30"/>
      <c r="J49" s="30"/>
      <c r="K49" s="30"/>
      <c r="L49" s="30"/>
      <c r="M49" s="30"/>
    </row>
    <row r="50" spans="2:13">
      <c r="B50" s="30"/>
      <c r="C50" s="30"/>
      <c r="D50" s="30"/>
      <c r="E50" s="30"/>
      <c r="F50" s="30"/>
      <c r="G50" s="30"/>
      <c r="H50" s="30"/>
      <c r="I50" s="30"/>
      <c r="J50" s="30"/>
      <c r="K50" s="30"/>
      <c r="L50" s="30"/>
      <c r="M50" s="30"/>
    </row>
    <row r="51" spans="2:13">
      <c r="B51" s="30"/>
      <c r="C51" s="30"/>
      <c r="D51" s="30"/>
      <c r="E51" s="30"/>
      <c r="F51" s="30"/>
      <c r="G51" s="30"/>
      <c r="H51" s="30"/>
      <c r="I51" s="30"/>
      <c r="J51" s="30"/>
      <c r="K51" s="30"/>
      <c r="L51" s="30"/>
      <c r="M51" s="30"/>
    </row>
    <row r="52" spans="2:13">
      <c r="B52" s="30"/>
      <c r="C52" s="30"/>
      <c r="D52" s="30"/>
      <c r="E52" s="30"/>
      <c r="F52" s="30"/>
      <c r="G52" s="30"/>
      <c r="H52" s="30"/>
      <c r="I52" s="30"/>
      <c r="J52" s="30"/>
      <c r="K52" s="30"/>
      <c r="L52" s="30"/>
      <c r="M52" s="30"/>
    </row>
    <row r="53" spans="2:13">
      <c r="B53" s="30"/>
      <c r="C53" s="30"/>
      <c r="D53" s="30"/>
      <c r="E53" s="30"/>
      <c r="F53" s="30"/>
      <c r="G53" s="30"/>
      <c r="H53" s="30"/>
      <c r="I53" s="30"/>
      <c r="J53" s="30"/>
      <c r="K53" s="30"/>
      <c r="L53" s="30"/>
      <c r="M53" s="30"/>
    </row>
    <row r="54" spans="2:13">
      <c r="B54" s="30"/>
      <c r="C54" s="30"/>
      <c r="D54" s="30"/>
      <c r="E54" s="30"/>
      <c r="F54" s="30"/>
      <c r="G54" s="30"/>
      <c r="H54" s="30"/>
      <c r="I54" s="30"/>
      <c r="J54" s="30"/>
      <c r="K54" s="30"/>
      <c r="L54" s="30"/>
      <c r="M54" s="30"/>
    </row>
    <row r="55" spans="2:13">
      <c r="B55" s="30"/>
      <c r="C55" s="30"/>
      <c r="D55" s="30"/>
      <c r="E55" s="30"/>
      <c r="F55" s="30"/>
      <c r="G55" s="30"/>
      <c r="H55" s="30"/>
      <c r="I55" s="30"/>
      <c r="J55" s="30"/>
      <c r="K55" s="30"/>
      <c r="L55" s="30"/>
      <c r="M55" s="30"/>
    </row>
    <row r="56" spans="2:13">
      <c r="B56" s="30"/>
      <c r="C56" s="30"/>
      <c r="D56" s="30"/>
      <c r="E56" s="30"/>
      <c r="F56" s="30"/>
      <c r="G56" s="30"/>
      <c r="H56" s="30"/>
      <c r="I56" s="30"/>
      <c r="J56" s="30"/>
      <c r="K56" s="30"/>
      <c r="L56" s="30"/>
      <c r="M56" s="30"/>
    </row>
    <row r="57" spans="2:13">
      <c r="B57" s="30"/>
      <c r="C57" s="30"/>
      <c r="D57" s="30"/>
      <c r="E57" s="30"/>
      <c r="F57" s="30"/>
      <c r="G57" s="30"/>
      <c r="H57" s="30"/>
      <c r="I57" s="30"/>
      <c r="J57" s="30"/>
      <c r="K57" s="30"/>
      <c r="L57" s="30"/>
      <c r="M57" s="30"/>
    </row>
    <row r="58" spans="2:13">
      <c r="B58" s="30"/>
      <c r="C58" s="30"/>
      <c r="D58" s="30"/>
      <c r="E58" s="30"/>
      <c r="F58" s="30"/>
      <c r="G58" s="30"/>
      <c r="H58" s="30"/>
      <c r="I58" s="30"/>
      <c r="J58" s="30"/>
      <c r="K58" s="30"/>
      <c r="L58" s="30"/>
      <c r="M58" s="30"/>
    </row>
    <row r="59" spans="2:13">
      <c r="B59" s="30"/>
      <c r="C59" s="30"/>
      <c r="D59" s="30"/>
      <c r="E59" s="30"/>
      <c r="F59" s="30"/>
      <c r="G59" s="30"/>
      <c r="H59" s="30"/>
      <c r="I59" s="30"/>
      <c r="J59" s="30"/>
      <c r="K59" s="30"/>
      <c r="L59" s="30"/>
      <c r="M59" s="30"/>
    </row>
    <row r="60" spans="2:13">
      <c r="B60" s="30"/>
      <c r="C60" s="30"/>
      <c r="D60" s="30"/>
      <c r="E60" s="30"/>
      <c r="F60" s="30"/>
      <c r="G60" s="30"/>
      <c r="H60" s="30"/>
      <c r="I60" s="30"/>
      <c r="J60" s="30"/>
      <c r="K60" s="30"/>
      <c r="L60" s="30"/>
      <c r="M60" s="30"/>
    </row>
    <row r="61" spans="2:13">
      <c r="B61" s="30"/>
      <c r="C61" s="30"/>
      <c r="D61" s="30"/>
      <c r="E61" s="30"/>
      <c r="F61" s="30"/>
      <c r="G61" s="30"/>
      <c r="H61" s="30"/>
      <c r="I61" s="30"/>
      <c r="J61" s="30"/>
      <c r="K61" s="30"/>
      <c r="L61" s="30"/>
      <c r="M61" s="30"/>
    </row>
    <row r="62" spans="2:13">
      <c r="B62" s="30"/>
      <c r="C62" s="30"/>
      <c r="D62" s="30"/>
      <c r="E62" s="30"/>
      <c r="F62" s="30"/>
      <c r="G62" s="30"/>
      <c r="H62" s="30"/>
      <c r="I62" s="30"/>
      <c r="J62" s="30"/>
      <c r="K62" s="30"/>
      <c r="L62" s="30"/>
      <c r="M62" s="30"/>
    </row>
    <row r="63" spans="2:13">
      <c r="B63" s="30"/>
      <c r="C63" s="30"/>
      <c r="D63" s="30"/>
      <c r="E63" s="30"/>
      <c r="F63" s="30"/>
      <c r="G63" s="30"/>
      <c r="H63" s="30"/>
      <c r="I63" s="30"/>
      <c r="J63" s="30"/>
      <c r="K63" s="30"/>
      <c r="L63" s="30"/>
      <c r="M63" s="30"/>
    </row>
    <row r="64" spans="2:13">
      <c r="B64" s="30"/>
      <c r="C64" s="30"/>
      <c r="D64" s="30"/>
      <c r="E64" s="30"/>
      <c r="F64" s="30"/>
      <c r="G64" s="30"/>
      <c r="H64" s="30"/>
      <c r="I64" s="30"/>
      <c r="J64" s="30"/>
      <c r="K64" s="30"/>
      <c r="L64" s="30"/>
      <c r="M64" s="30"/>
    </row>
    <row r="65" spans="2:13">
      <c r="B65" s="30"/>
      <c r="C65" s="30"/>
      <c r="D65" s="30"/>
      <c r="E65" s="30"/>
      <c r="F65" s="30"/>
      <c r="G65" s="30"/>
      <c r="H65" s="30"/>
      <c r="I65" s="30"/>
      <c r="J65" s="30"/>
      <c r="K65" s="30"/>
      <c r="L65" s="30"/>
      <c r="M65" s="30"/>
    </row>
    <row r="66" spans="2:13">
      <c r="B66" s="30"/>
      <c r="C66" s="30"/>
      <c r="D66" s="30"/>
      <c r="E66" s="30"/>
      <c r="F66" s="30"/>
      <c r="G66" s="30"/>
      <c r="H66" s="30"/>
      <c r="I66" s="30"/>
      <c r="J66" s="30"/>
      <c r="K66" s="30"/>
      <c r="L66" s="30"/>
      <c r="M66" s="30"/>
    </row>
    <row r="67" spans="2:13">
      <c r="B67" s="30"/>
      <c r="C67" s="30"/>
      <c r="D67" s="30"/>
      <c r="E67" s="30"/>
      <c r="F67" s="30"/>
      <c r="G67" s="30"/>
      <c r="H67" s="30"/>
      <c r="I67" s="30"/>
      <c r="J67" s="30"/>
      <c r="K67" s="30"/>
      <c r="L67" s="30"/>
      <c r="M67" s="30"/>
    </row>
    <row r="68" spans="2:13">
      <c r="B68" s="30"/>
      <c r="C68" s="30"/>
      <c r="D68" s="30"/>
      <c r="E68" s="30"/>
      <c r="F68" s="30"/>
      <c r="G68" s="30"/>
      <c r="H68" s="30"/>
      <c r="I68" s="30"/>
      <c r="J68" s="30"/>
      <c r="K68" s="30"/>
      <c r="L68" s="30"/>
      <c r="M68" s="30"/>
    </row>
    <row r="69" spans="2:13">
      <c r="B69" s="30"/>
      <c r="C69" s="30"/>
      <c r="D69" s="30"/>
      <c r="E69" s="30"/>
      <c r="F69" s="30"/>
      <c r="G69" s="30"/>
      <c r="H69" s="30"/>
      <c r="I69" s="30"/>
      <c r="J69" s="30"/>
      <c r="K69" s="30"/>
      <c r="L69" s="30"/>
      <c r="M69" s="30"/>
    </row>
    <row r="70" spans="2:13">
      <c r="B70" s="30"/>
      <c r="C70" s="30"/>
      <c r="D70" s="30"/>
      <c r="E70" s="30"/>
      <c r="F70" s="30"/>
      <c r="G70" s="30"/>
      <c r="H70" s="30"/>
      <c r="I70" s="30"/>
      <c r="J70" s="30"/>
      <c r="K70" s="30"/>
      <c r="L70" s="30"/>
      <c r="M70" s="30"/>
    </row>
    <row r="71" spans="2:13">
      <c r="B71" s="30"/>
      <c r="C71" s="30"/>
      <c r="D71" s="30"/>
      <c r="E71" s="30"/>
      <c r="F71" s="30"/>
      <c r="G71" s="30"/>
      <c r="H71" s="30"/>
      <c r="I71" s="30"/>
      <c r="J71" s="30"/>
      <c r="K71" s="30"/>
      <c r="L71" s="30"/>
      <c r="M71" s="30"/>
    </row>
    <row r="72" spans="2:13">
      <c r="B72" s="30"/>
      <c r="C72" s="30"/>
      <c r="D72" s="30"/>
      <c r="E72" s="30"/>
      <c r="F72" s="30"/>
      <c r="G72" s="30"/>
      <c r="H72" s="30"/>
      <c r="I72" s="30"/>
      <c r="J72" s="30"/>
      <c r="K72" s="30"/>
      <c r="L72" s="30"/>
      <c r="M72" s="30"/>
    </row>
    <row r="73" spans="2:13">
      <c r="B73" s="30"/>
      <c r="C73" s="30"/>
      <c r="D73" s="30"/>
      <c r="E73" s="30"/>
      <c r="F73" s="30"/>
      <c r="G73" s="30"/>
      <c r="H73" s="30"/>
      <c r="I73" s="30"/>
      <c r="J73" s="30"/>
      <c r="K73" s="30"/>
      <c r="L73" s="30"/>
      <c r="M73" s="30"/>
    </row>
    <row r="74" spans="2:13">
      <c r="B74" s="30"/>
      <c r="C74" s="30"/>
      <c r="D74" s="30"/>
      <c r="E74" s="30"/>
      <c r="F74" s="30"/>
      <c r="G74" s="30"/>
      <c r="H74" s="30"/>
      <c r="I74" s="30"/>
      <c r="J74" s="30"/>
      <c r="K74" s="30"/>
      <c r="L74" s="30"/>
      <c r="M74" s="30"/>
    </row>
    <row r="75" spans="2:13">
      <c r="B75" s="30"/>
      <c r="C75" s="30"/>
      <c r="D75" s="30"/>
      <c r="E75" s="30"/>
      <c r="F75" s="30"/>
      <c r="G75" s="30"/>
      <c r="H75" s="30"/>
      <c r="I75" s="30"/>
      <c r="J75" s="30"/>
      <c r="K75" s="30"/>
      <c r="L75" s="30"/>
      <c r="M75" s="30"/>
    </row>
    <row r="76" spans="2:13">
      <c r="B76" s="30"/>
      <c r="C76" s="30"/>
      <c r="D76" s="30"/>
      <c r="E76" s="30"/>
      <c r="F76" s="30"/>
      <c r="G76" s="30"/>
      <c r="H76" s="30"/>
      <c r="I76" s="30"/>
      <c r="J76" s="30"/>
      <c r="K76" s="30"/>
      <c r="L76" s="30"/>
      <c r="M76" s="30"/>
    </row>
    <row r="77" spans="2:13">
      <c r="B77" s="30"/>
      <c r="C77" s="30"/>
      <c r="D77" s="30"/>
      <c r="E77" s="30"/>
      <c r="F77" s="30"/>
      <c r="G77" s="30"/>
      <c r="H77" s="30"/>
      <c r="I77" s="30"/>
      <c r="J77" s="30"/>
      <c r="K77" s="30"/>
      <c r="L77" s="30"/>
      <c r="M77" s="30"/>
    </row>
    <row r="78" spans="2:13">
      <c r="B78" s="30"/>
      <c r="C78" s="30"/>
      <c r="D78" s="30"/>
      <c r="E78" s="30"/>
      <c r="F78" s="30"/>
      <c r="G78" s="30"/>
      <c r="H78" s="30"/>
      <c r="I78" s="30"/>
      <c r="J78" s="30"/>
      <c r="K78" s="30"/>
      <c r="L78" s="30"/>
      <c r="M78" s="30"/>
    </row>
    <row r="79" spans="2:13">
      <c r="B79" s="30"/>
      <c r="C79" s="30"/>
      <c r="D79" s="30"/>
      <c r="E79" s="30"/>
      <c r="F79" s="30"/>
      <c r="G79" s="30"/>
      <c r="H79" s="30"/>
      <c r="I79" s="30"/>
      <c r="J79" s="30"/>
      <c r="K79" s="30"/>
      <c r="L79" s="30"/>
      <c r="M79" s="30"/>
    </row>
    <row r="80" spans="2:13">
      <c r="B80" s="30"/>
      <c r="C80" s="30"/>
      <c r="D80" s="30"/>
      <c r="E80" s="30"/>
      <c r="F80" s="30"/>
      <c r="G80" s="30"/>
      <c r="H80" s="30"/>
      <c r="I80" s="30"/>
      <c r="J80" s="30"/>
      <c r="K80" s="30"/>
      <c r="L80" s="30"/>
      <c r="M80" s="30"/>
    </row>
    <row r="81" spans="2:13">
      <c r="B81" s="30"/>
      <c r="C81" s="30"/>
      <c r="D81" s="30"/>
      <c r="E81" s="30"/>
      <c r="F81" s="30"/>
      <c r="G81" s="30"/>
      <c r="H81" s="30"/>
      <c r="I81" s="30"/>
      <c r="J81" s="30"/>
      <c r="K81" s="30"/>
      <c r="L81" s="30"/>
      <c r="M81" s="30"/>
    </row>
    <row r="82" spans="2:13">
      <c r="B82" s="30"/>
      <c r="C82" s="30"/>
      <c r="D82" s="30"/>
      <c r="E82" s="30"/>
      <c r="F82" s="30"/>
      <c r="G82" s="30"/>
      <c r="H82" s="30"/>
      <c r="I82" s="30"/>
      <c r="J82" s="30"/>
      <c r="K82" s="30"/>
      <c r="L82" s="30"/>
      <c r="M82" s="30"/>
    </row>
    <row r="83" spans="2:13">
      <c r="B83" s="30"/>
      <c r="C83" s="30"/>
      <c r="D83" s="30"/>
      <c r="E83" s="30"/>
      <c r="F83" s="30"/>
      <c r="G83" s="30"/>
      <c r="H83" s="30"/>
      <c r="I83" s="30"/>
      <c r="J83" s="30"/>
      <c r="K83" s="30"/>
      <c r="L83" s="30"/>
      <c r="M83" s="30"/>
    </row>
    <row r="84" spans="2:13">
      <c r="B84" s="30"/>
      <c r="C84" s="30"/>
      <c r="D84" s="30"/>
      <c r="E84" s="30"/>
      <c r="F84" s="30"/>
      <c r="G84" s="30"/>
      <c r="H84" s="30"/>
      <c r="I84" s="30"/>
      <c r="J84" s="30"/>
      <c r="K84" s="30"/>
      <c r="L84" s="30"/>
      <c r="M84" s="30"/>
    </row>
    <row r="85" spans="2:13">
      <c r="B85" s="30"/>
      <c r="C85" s="30"/>
      <c r="D85" s="30"/>
      <c r="E85" s="30"/>
      <c r="F85" s="30"/>
      <c r="G85" s="30"/>
      <c r="H85" s="30"/>
      <c r="I85" s="30"/>
      <c r="J85" s="30"/>
      <c r="K85" s="30"/>
      <c r="L85" s="30"/>
      <c r="M85" s="30"/>
    </row>
    <row r="86" spans="2:13">
      <c r="B86" s="30"/>
      <c r="C86" s="30"/>
      <c r="D86" s="30"/>
      <c r="E86" s="30"/>
      <c r="F86" s="30"/>
      <c r="G86" s="30"/>
      <c r="H86" s="30"/>
      <c r="I86" s="30"/>
      <c r="J86" s="30"/>
      <c r="K86" s="30"/>
      <c r="L86" s="30"/>
      <c r="M86" s="30"/>
    </row>
    <row r="87" spans="2:13">
      <c r="B87" s="30"/>
      <c r="C87" s="30"/>
      <c r="D87" s="30"/>
      <c r="E87" s="30"/>
      <c r="F87" s="30"/>
      <c r="G87" s="30"/>
      <c r="H87" s="30"/>
      <c r="I87" s="30"/>
      <c r="J87" s="30"/>
      <c r="K87" s="30"/>
      <c r="L87" s="30"/>
      <c r="M87" s="30"/>
    </row>
    <row r="88" spans="2:13">
      <c r="B88" s="30"/>
      <c r="C88" s="30"/>
      <c r="D88" s="30"/>
      <c r="E88" s="30"/>
      <c r="F88" s="30"/>
      <c r="G88" s="30"/>
      <c r="H88" s="30"/>
      <c r="I88" s="30"/>
      <c r="J88" s="30"/>
      <c r="K88" s="30"/>
      <c r="L88" s="30"/>
      <c r="M88" s="30"/>
    </row>
    <row r="89" spans="2:13">
      <c r="B89" s="30"/>
      <c r="C89" s="30"/>
      <c r="D89" s="30"/>
      <c r="E89" s="30"/>
      <c r="F89" s="30"/>
      <c r="G89" s="30"/>
      <c r="H89" s="30"/>
      <c r="I89" s="30"/>
      <c r="J89" s="30"/>
      <c r="K89" s="30"/>
      <c r="L89" s="30"/>
      <c r="M89" s="30"/>
    </row>
    <row r="90" spans="2:13">
      <c r="B90" s="30"/>
      <c r="C90" s="30"/>
      <c r="D90" s="30"/>
      <c r="E90" s="30"/>
      <c r="F90" s="30"/>
      <c r="G90" s="30"/>
      <c r="H90" s="30"/>
      <c r="I90" s="30"/>
      <c r="J90" s="30"/>
      <c r="K90" s="30"/>
      <c r="L90" s="30"/>
      <c r="M90" s="30"/>
    </row>
    <row r="91" spans="2:13">
      <c r="B91" s="30"/>
      <c r="C91" s="30"/>
      <c r="D91" s="30"/>
      <c r="E91" s="30"/>
      <c r="F91" s="30"/>
      <c r="G91" s="30"/>
      <c r="H91" s="30"/>
      <c r="I91" s="30"/>
      <c r="J91" s="30"/>
      <c r="K91" s="30"/>
      <c r="L91" s="30"/>
      <c r="M91" s="30"/>
    </row>
    <row r="92" spans="2:13">
      <c r="B92" s="30"/>
      <c r="C92" s="30"/>
      <c r="D92" s="30"/>
      <c r="E92" s="30"/>
      <c r="F92" s="30"/>
      <c r="G92" s="30"/>
      <c r="H92" s="30"/>
      <c r="I92" s="30"/>
      <c r="J92" s="30"/>
      <c r="K92" s="30"/>
      <c r="L92" s="30"/>
      <c r="M92" s="30"/>
    </row>
    <row r="93" spans="2:13">
      <c r="B93" s="30"/>
      <c r="C93" s="30"/>
      <c r="D93" s="30"/>
      <c r="E93" s="30"/>
      <c r="F93" s="30"/>
      <c r="G93" s="30"/>
      <c r="H93" s="30"/>
      <c r="I93" s="30"/>
      <c r="J93" s="30"/>
      <c r="K93" s="30"/>
      <c r="L93" s="30"/>
      <c r="M93" s="30"/>
    </row>
    <row r="94" spans="2:13">
      <c r="B94" s="30"/>
      <c r="C94" s="30"/>
      <c r="D94" s="30"/>
      <c r="E94" s="30"/>
      <c r="F94" s="30"/>
      <c r="G94" s="30"/>
      <c r="H94" s="30"/>
      <c r="I94" s="30"/>
      <c r="J94" s="30"/>
      <c r="K94" s="30"/>
      <c r="L94" s="30"/>
      <c r="M94" s="30"/>
    </row>
    <row r="95" spans="2:13">
      <c r="B95" s="30"/>
      <c r="C95" s="30"/>
      <c r="D95" s="30"/>
      <c r="E95" s="30"/>
      <c r="F95" s="30"/>
      <c r="G95" s="30"/>
      <c r="H95" s="30"/>
      <c r="I95" s="30"/>
      <c r="J95" s="30"/>
      <c r="K95" s="30"/>
      <c r="L95" s="30"/>
      <c r="M95" s="30"/>
    </row>
    <row r="96" spans="2:13">
      <c r="B96" s="30"/>
      <c r="C96" s="30"/>
      <c r="D96" s="30"/>
      <c r="E96" s="30"/>
      <c r="F96" s="30"/>
      <c r="G96" s="30"/>
      <c r="H96" s="30"/>
      <c r="I96" s="30"/>
      <c r="J96" s="30"/>
      <c r="K96" s="30"/>
      <c r="L96" s="30"/>
      <c r="M96" s="30"/>
    </row>
    <row r="97" spans="2:13">
      <c r="B97" s="30"/>
      <c r="C97" s="30"/>
      <c r="D97" s="30"/>
      <c r="E97" s="30"/>
      <c r="F97" s="30"/>
      <c r="G97" s="30"/>
      <c r="H97" s="30"/>
      <c r="I97" s="30"/>
      <c r="J97" s="30"/>
      <c r="K97" s="30"/>
      <c r="L97" s="30"/>
      <c r="M97" s="30"/>
    </row>
    <row r="98" spans="2:13">
      <c r="B98" s="30"/>
      <c r="C98" s="30"/>
      <c r="D98" s="30"/>
      <c r="E98" s="30"/>
      <c r="F98" s="30"/>
      <c r="G98" s="30"/>
      <c r="H98" s="30"/>
      <c r="I98" s="30"/>
      <c r="J98" s="30"/>
      <c r="K98" s="30"/>
      <c r="L98" s="30"/>
      <c r="M98" s="30"/>
    </row>
    <row r="99" spans="2:13">
      <c r="B99" s="30"/>
      <c r="C99" s="30"/>
      <c r="D99" s="30"/>
      <c r="E99" s="30"/>
      <c r="F99" s="30"/>
      <c r="G99" s="30"/>
      <c r="H99" s="30"/>
      <c r="I99" s="30"/>
      <c r="J99" s="30"/>
      <c r="K99" s="30"/>
      <c r="L99" s="30"/>
      <c r="M99" s="30"/>
    </row>
    <row r="100" spans="2:13">
      <c r="B100" s="30"/>
      <c r="C100" s="30"/>
      <c r="D100" s="30"/>
      <c r="E100" s="30"/>
      <c r="F100" s="30"/>
      <c r="G100" s="30"/>
      <c r="H100" s="30"/>
      <c r="I100" s="30"/>
      <c r="J100" s="30"/>
      <c r="K100" s="30"/>
      <c r="L100" s="30"/>
      <c r="M100" s="30"/>
    </row>
    <row r="101" spans="2:13">
      <c r="B101" s="30"/>
      <c r="C101" s="30"/>
      <c r="D101" s="30"/>
      <c r="E101" s="30"/>
      <c r="F101" s="30"/>
      <c r="G101" s="30"/>
      <c r="H101" s="30"/>
      <c r="I101" s="30"/>
      <c r="J101" s="30"/>
      <c r="K101" s="30"/>
      <c r="L101" s="30"/>
      <c r="M101" s="30"/>
    </row>
    <row r="102" spans="2:13">
      <c r="B102" s="30"/>
      <c r="C102" s="30"/>
      <c r="D102" s="30"/>
      <c r="E102" s="30"/>
      <c r="F102" s="30"/>
      <c r="G102" s="30"/>
      <c r="H102" s="30"/>
      <c r="I102" s="30"/>
      <c r="J102" s="30"/>
      <c r="K102" s="30"/>
      <c r="L102" s="30"/>
      <c r="M102" s="30"/>
    </row>
    <row r="103" spans="2:13">
      <c r="B103" s="30"/>
      <c r="C103" s="30"/>
      <c r="D103" s="30"/>
      <c r="E103" s="30"/>
      <c r="F103" s="30"/>
      <c r="G103" s="30"/>
      <c r="H103" s="30"/>
      <c r="I103" s="30"/>
      <c r="J103" s="30"/>
      <c r="K103" s="30"/>
      <c r="L103" s="30"/>
      <c r="M103" s="30"/>
    </row>
    <row r="104" spans="2:13">
      <c r="B104" s="30"/>
      <c r="C104" s="30"/>
      <c r="D104" s="30"/>
      <c r="E104" s="30"/>
      <c r="F104" s="30"/>
      <c r="G104" s="30"/>
      <c r="H104" s="30"/>
      <c r="I104" s="30"/>
      <c r="J104" s="30"/>
      <c r="K104" s="30"/>
      <c r="L104" s="30"/>
      <c r="M104" s="30"/>
    </row>
    <row r="105" spans="2:13">
      <c r="B105" s="30"/>
      <c r="C105" s="30"/>
      <c r="D105" s="30"/>
      <c r="E105" s="30"/>
      <c r="F105" s="30"/>
      <c r="G105" s="30"/>
      <c r="H105" s="30"/>
      <c r="I105" s="30"/>
      <c r="J105" s="30"/>
      <c r="K105" s="30"/>
      <c r="L105" s="30"/>
      <c r="M105" s="30"/>
    </row>
    <row r="106" spans="2:13">
      <c r="B106" s="30"/>
      <c r="C106" s="30"/>
      <c r="D106" s="30"/>
      <c r="E106" s="30"/>
      <c r="F106" s="30"/>
      <c r="G106" s="30"/>
      <c r="H106" s="30"/>
      <c r="I106" s="30"/>
      <c r="J106" s="30"/>
      <c r="K106" s="30"/>
      <c r="L106" s="30"/>
      <c r="M106" s="30"/>
    </row>
    <row r="107" spans="2:13">
      <c r="B107" s="30"/>
      <c r="C107" s="30"/>
      <c r="D107" s="30"/>
      <c r="E107" s="30"/>
      <c r="F107" s="30"/>
      <c r="G107" s="30"/>
      <c r="H107" s="30"/>
      <c r="I107" s="30"/>
      <c r="J107" s="30"/>
      <c r="K107" s="30"/>
      <c r="L107" s="30"/>
      <c r="M107" s="30"/>
    </row>
    <row r="108" spans="2:13">
      <c r="B108" s="30"/>
      <c r="C108" s="30"/>
      <c r="D108" s="30"/>
      <c r="E108" s="30"/>
      <c r="F108" s="30"/>
      <c r="G108" s="30"/>
      <c r="H108" s="30"/>
      <c r="I108" s="30"/>
      <c r="J108" s="30"/>
      <c r="K108" s="30"/>
      <c r="L108" s="30"/>
      <c r="M108" s="30"/>
    </row>
    <row r="109" spans="2:13">
      <c r="B109" s="30"/>
      <c r="C109" s="30"/>
      <c r="D109" s="30"/>
      <c r="E109" s="30"/>
      <c r="F109" s="30"/>
      <c r="G109" s="30"/>
      <c r="H109" s="30"/>
      <c r="I109" s="30"/>
      <c r="J109" s="30"/>
      <c r="K109" s="30"/>
      <c r="L109" s="30"/>
      <c r="M109" s="30"/>
    </row>
    <row r="110" spans="2:13">
      <c r="B110" s="30"/>
      <c r="C110" s="30"/>
      <c r="D110" s="30"/>
      <c r="E110" s="30"/>
      <c r="F110" s="30"/>
      <c r="G110" s="30"/>
      <c r="H110" s="30"/>
      <c r="I110" s="30"/>
      <c r="J110" s="30"/>
      <c r="K110" s="30"/>
      <c r="L110" s="30"/>
      <c r="M110" s="30"/>
    </row>
    <row r="111" spans="2:13">
      <c r="B111" s="30"/>
      <c r="C111" s="30"/>
      <c r="D111" s="30"/>
      <c r="E111" s="30"/>
      <c r="F111" s="30"/>
      <c r="G111" s="30"/>
      <c r="H111" s="30"/>
      <c r="I111" s="30"/>
      <c r="J111" s="30"/>
      <c r="K111" s="30"/>
      <c r="L111" s="30"/>
      <c r="M111" s="30"/>
    </row>
    <row r="112" spans="2:13">
      <c r="B112" s="30"/>
      <c r="C112" s="30"/>
      <c r="D112" s="30"/>
      <c r="E112" s="30"/>
      <c r="F112" s="30"/>
      <c r="G112" s="30"/>
      <c r="H112" s="30"/>
      <c r="I112" s="30"/>
      <c r="J112" s="30"/>
      <c r="K112" s="30"/>
      <c r="L112" s="30"/>
      <c r="M112" s="30"/>
    </row>
    <row r="113" spans="2:13">
      <c r="B113" s="30"/>
      <c r="C113" s="30"/>
      <c r="D113" s="30"/>
      <c r="E113" s="30"/>
      <c r="F113" s="30"/>
      <c r="G113" s="30"/>
      <c r="H113" s="30"/>
      <c r="I113" s="30"/>
      <c r="J113" s="30"/>
      <c r="K113" s="30"/>
      <c r="L113" s="30"/>
      <c r="M113" s="30"/>
    </row>
    <row r="114" spans="2:13">
      <c r="B114" s="30"/>
      <c r="C114" s="30"/>
      <c r="D114" s="30"/>
      <c r="E114" s="30"/>
      <c r="F114" s="30"/>
      <c r="G114" s="30"/>
      <c r="H114" s="30"/>
      <c r="I114" s="30"/>
      <c r="J114" s="30"/>
      <c r="K114" s="30"/>
      <c r="L114" s="30"/>
      <c r="M114" s="30"/>
    </row>
    <row r="115" spans="2:13">
      <c r="B115" s="30"/>
      <c r="C115" s="30"/>
      <c r="D115" s="30"/>
      <c r="E115" s="30"/>
      <c r="F115" s="30"/>
      <c r="G115" s="30"/>
      <c r="H115" s="30"/>
      <c r="I115" s="30"/>
      <c r="J115" s="30"/>
      <c r="K115" s="30"/>
      <c r="L115" s="30"/>
      <c r="M115" s="30"/>
    </row>
    <row r="116" spans="2:13">
      <c r="B116" s="30"/>
      <c r="C116" s="30"/>
      <c r="D116" s="30"/>
      <c r="E116" s="30"/>
      <c r="F116" s="30"/>
      <c r="G116" s="30"/>
      <c r="H116" s="30"/>
      <c r="I116" s="30"/>
      <c r="J116" s="30"/>
      <c r="K116" s="30"/>
      <c r="L116" s="30"/>
      <c r="M116" s="30"/>
    </row>
    <row r="117" spans="2:13">
      <c r="B117" s="30"/>
      <c r="C117" s="30"/>
      <c r="D117" s="30"/>
      <c r="E117" s="30"/>
      <c r="F117" s="30"/>
      <c r="G117" s="30"/>
      <c r="H117" s="30"/>
      <c r="I117" s="30"/>
      <c r="J117" s="30"/>
      <c r="K117" s="30"/>
      <c r="L117" s="30"/>
      <c r="M117" s="30"/>
    </row>
    <row r="118" spans="2:13">
      <c r="B118" s="30"/>
      <c r="C118" s="30"/>
      <c r="D118" s="30"/>
      <c r="E118" s="30"/>
      <c r="F118" s="30"/>
      <c r="G118" s="30"/>
      <c r="H118" s="30"/>
      <c r="I118" s="30"/>
      <c r="J118" s="30"/>
      <c r="K118" s="30"/>
      <c r="L118" s="30"/>
      <c r="M118" s="30"/>
    </row>
    <row r="119" spans="2:13">
      <c r="B119" s="30"/>
      <c r="C119" s="30"/>
      <c r="D119" s="30"/>
      <c r="E119" s="30"/>
      <c r="F119" s="30"/>
      <c r="G119" s="30"/>
      <c r="H119" s="30"/>
      <c r="I119" s="30"/>
      <c r="J119" s="30"/>
      <c r="K119" s="30"/>
      <c r="L119" s="30"/>
      <c r="M119" s="30"/>
    </row>
    <row r="120" spans="2:13">
      <c r="B120" s="30"/>
      <c r="C120" s="30"/>
      <c r="D120" s="30"/>
      <c r="E120" s="30"/>
      <c r="F120" s="30"/>
      <c r="G120" s="30"/>
      <c r="H120" s="30"/>
      <c r="I120" s="30"/>
      <c r="J120" s="30"/>
      <c r="K120" s="30"/>
      <c r="L120" s="30"/>
      <c r="M120" s="30"/>
    </row>
    <row r="121" spans="2:13">
      <c r="B121" s="30"/>
      <c r="C121" s="30"/>
      <c r="D121" s="30"/>
      <c r="E121" s="30"/>
      <c r="F121" s="30"/>
      <c r="G121" s="30"/>
      <c r="H121" s="30"/>
      <c r="I121" s="30"/>
      <c r="J121" s="30"/>
      <c r="K121" s="30"/>
      <c r="L121" s="30"/>
      <c r="M121" s="30"/>
    </row>
  </sheetData>
  <sheetProtection algorithmName="SHA-512" hashValue="60DEeyId4I/qjVBz7+1ZQybkzFmAEVNNcXuYLalfyR15JGFpuFJbSd7RTxf+Eunz+5wWZmNgzPLaEnmfSKRysA==" saltValue="kD8zg0bSM16/TNWTybHNGw=="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29024-BD96-4AE2-8FA3-45768AD102D0}">
  <dimension ref="A3:AG96"/>
  <sheetViews>
    <sheetView showRowColHeaders="0" zoomScaleNormal="100" workbookViewId="0">
      <selection activeCell="AI10" sqref="AI10"/>
    </sheetView>
  </sheetViews>
  <sheetFormatPr defaultColWidth="9.140625" defaultRowHeight="15"/>
  <cols>
    <col min="1" max="13" width="9.140625" style="133"/>
    <col min="14" max="14" width="1.7109375" style="133" customWidth="1"/>
    <col min="15" max="26" width="9.140625" style="133"/>
    <col min="27" max="27" width="1.42578125" style="133" customWidth="1"/>
    <col min="28" max="29" width="9.140625" style="133" hidden="1" customWidth="1"/>
    <col min="30" max="30" width="8.5703125" style="133" hidden="1" customWidth="1"/>
    <col min="31" max="31" width="0.42578125" style="133" customWidth="1"/>
    <col min="32" max="32" width="9.140625" style="133"/>
    <col min="33" max="33" width="3.140625" style="133" customWidth="1"/>
    <col min="34" max="16384" width="9.140625" style="133"/>
  </cols>
  <sheetData>
    <row r="3" spans="1:33" ht="15.75" customHeight="1">
      <c r="A3" s="198"/>
      <c r="B3" s="238" t="s">
        <v>7</v>
      </c>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16"/>
      <c r="AG3" s="216"/>
    </row>
    <row r="4" spans="1:33" ht="15" customHeight="1">
      <c r="A4" s="198"/>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s="216"/>
      <c r="AG4" s="216"/>
    </row>
    <row r="5" spans="1:33" ht="8.25" customHeight="1">
      <c r="B5" s="128"/>
      <c r="C5" s="1"/>
      <c r="D5" s="1"/>
      <c r="E5" s="1"/>
      <c r="F5" s="1"/>
      <c r="G5" s="1"/>
      <c r="H5" s="1"/>
      <c r="I5" s="1"/>
      <c r="J5" s="1"/>
      <c r="K5" s="1"/>
      <c r="L5" s="1"/>
      <c r="M5" s="1"/>
      <c r="N5" s="118"/>
    </row>
    <row r="6" spans="1:33" ht="26.25" customHeight="1">
      <c r="B6" s="230" t="s">
        <v>8</v>
      </c>
      <c r="C6" s="231"/>
      <c r="D6" s="231"/>
      <c r="E6" s="231"/>
      <c r="F6" s="231"/>
      <c r="G6" s="231"/>
      <c r="H6" s="231"/>
      <c r="I6" s="231"/>
      <c r="J6" s="231"/>
      <c r="K6" s="231"/>
      <c r="L6" s="231"/>
      <c r="M6" s="231"/>
      <c r="N6" s="118"/>
    </row>
    <row r="7" spans="1:33" ht="30.75" customHeight="1">
      <c r="B7" s="236" t="s">
        <v>9</v>
      </c>
      <c r="C7" s="237"/>
      <c r="D7" s="237"/>
      <c r="E7" s="237"/>
      <c r="F7" s="237"/>
      <c r="G7" s="237"/>
      <c r="H7" s="237"/>
      <c r="I7" s="237"/>
      <c r="J7" s="237"/>
      <c r="K7" s="237"/>
      <c r="L7" s="237"/>
      <c r="M7" s="237"/>
      <c r="N7" s="118"/>
    </row>
    <row r="8" spans="1:33" ht="31.5" customHeight="1">
      <c r="B8" s="236" t="s">
        <v>10</v>
      </c>
      <c r="C8" s="237"/>
      <c r="D8" s="237"/>
      <c r="E8" s="237"/>
      <c r="F8" s="237"/>
      <c r="G8" s="237"/>
      <c r="H8" s="237"/>
      <c r="I8" s="237"/>
      <c r="J8" s="237"/>
      <c r="K8" s="237"/>
      <c r="L8" s="237"/>
      <c r="M8" s="237"/>
      <c r="N8" s="118"/>
    </row>
    <row r="9" spans="1:33" ht="57.75" customHeight="1">
      <c r="B9" s="236" t="s">
        <v>11</v>
      </c>
      <c r="C9" s="237"/>
      <c r="D9" s="237"/>
      <c r="E9" s="237"/>
      <c r="F9" s="237"/>
      <c r="G9" s="237"/>
      <c r="H9" s="237"/>
      <c r="I9" s="237"/>
      <c r="J9" s="237"/>
      <c r="K9" s="237"/>
      <c r="L9" s="237"/>
      <c r="M9" s="237"/>
      <c r="N9" s="118"/>
    </row>
    <row r="10" spans="1:33" ht="45.75" customHeight="1">
      <c r="B10" s="236" t="s">
        <v>12</v>
      </c>
      <c r="C10" s="237"/>
      <c r="D10" s="237"/>
      <c r="E10" s="237"/>
      <c r="F10" s="237"/>
      <c r="G10" s="237"/>
      <c r="H10" s="237"/>
      <c r="I10" s="237"/>
      <c r="J10" s="237"/>
      <c r="K10" s="237"/>
      <c r="L10" s="237"/>
      <c r="M10" s="237"/>
      <c r="N10" s="118"/>
    </row>
    <row r="11" spans="1:33" ht="74.25" customHeight="1">
      <c r="B11" s="236" t="s">
        <v>13</v>
      </c>
      <c r="C11" s="237"/>
      <c r="D11" s="237"/>
      <c r="E11" s="237"/>
      <c r="F11" s="237"/>
      <c r="G11" s="237"/>
      <c r="H11" s="237"/>
      <c r="I11" s="237"/>
      <c r="J11" s="237"/>
      <c r="K11" s="237"/>
      <c r="L11" s="237"/>
      <c r="M11" s="237"/>
      <c r="N11" s="118"/>
    </row>
    <row r="12" spans="1:33" ht="76.5" customHeight="1">
      <c r="B12" s="236" t="s">
        <v>14</v>
      </c>
      <c r="C12" s="237"/>
      <c r="D12" s="237"/>
      <c r="E12" s="237"/>
      <c r="F12" s="237"/>
      <c r="G12" s="237"/>
      <c r="H12" s="237"/>
      <c r="I12" s="237"/>
      <c r="J12" s="237"/>
      <c r="K12" s="237"/>
      <c r="L12" s="237"/>
      <c r="M12" s="237"/>
      <c r="N12" s="118"/>
    </row>
    <row r="13" spans="1:33" ht="48.75" customHeight="1" thickBot="1">
      <c r="B13" s="234" t="s">
        <v>15</v>
      </c>
      <c r="C13" s="235"/>
      <c r="D13" s="235"/>
      <c r="E13" s="235"/>
      <c r="F13" s="235"/>
      <c r="G13" s="235"/>
      <c r="H13" s="235"/>
      <c r="I13" s="235"/>
      <c r="J13" s="235"/>
      <c r="K13" s="235"/>
      <c r="L13" s="235"/>
      <c r="M13" s="235"/>
      <c r="N13" s="132"/>
    </row>
    <row r="14" spans="1:33" ht="15.75" thickTop="1">
      <c r="B14" s="30"/>
      <c r="C14" s="30"/>
      <c r="D14" s="30"/>
      <c r="E14" s="30"/>
      <c r="F14" s="30"/>
      <c r="G14" s="30"/>
      <c r="H14" s="30"/>
      <c r="I14" s="30"/>
      <c r="J14" s="30"/>
      <c r="K14" s="30"/>
      <c r="L14" s="30"/>
      <c r="M14" s="30"/>
    </row>
    <row r="15" spans="1:33">
      <c r="B15" s="30"/>
      <c r="C15" s="30"/>
      <c r="D15" s="30"/>
      <c r="E15" s="30"/>
      <c r="F15" s="30"/>
      <c r="G15" s="30"/>
      <c r="H15" s="30"/>
      <c r="I15" s="30"/>
      <c r="J15" s="30"/>
      <c r="K15" s="30"/>
      <c r="L15" s="30"/>
      <c r="M15" s="30"/>
    </row>
    <row r="16" spans="1:33">
      <c r="B16" s="30"/>
      <c r="C16" s="30"/>
      <c r="D16" s="30"/>
      <c r="E16" s="30"/>
      <c r="F16" s="30"/>
      <c r="G16" s="30"/>
      <c r="H16" s="30"/>
      <c r="I16" s="30"/>
      <c r="J16" s="30"/>
      <c r="K16" s="30"/>
      <c r="L16" s="30"/>
      <c r="M16" s="30"/>
    </row>
    <row r="17" spans="2:13">
      <c r="B17" s="30"/>
      <c r="C17" s="30"/>
      <c r="D17" s="30"/>
      <c r="E17" s="30"/>
      <c r="F17" s="30"/>
      <c r="G17" s="30"/>
      <c r="H17" s="30"/>
      <c r="I17" s="30"/>
      <c r="J17" s="30"/>
      <c r="K17" s="30"/>
      <c r="L17" s="30"/>
      <c r="M17" s="30"/>
    </row>
    <row r="18" spans="2:13">
      <c r="B18" s="30"/>
      <c r="C18" s="30"/>
      <c r="D18" s="30"/>
      <c r="E18" s="30"/>
      <c r="F18" s="30"/>
      <c r="G18" s="30"/>
      <c r="H18" s="30"/>
      <c r="I18" s="30"/>
      <c r="J18" s="30"/>
      <c r="K18" s="30"/>
      <c r="L18" s="30"/>
      <c r="M18" s="30"/>
    </row>
    <row r="19" spans="2:13">
      <c r="B19" s="30"/>
      <c r="C19" s="30"/>
      <c r="D19" s="30"/>
      <c r="E19" s="30"/>
      <c r="F19" s="30"/>
      <c r="G19" s="30"/>
      <c r="H19" s="30"/>
      <c r="I19" s="30"/>
      <c r="J19" s="30"/>
      <c r="K19" s="30"/>
      <c r="L19" s="30"/>
      <c r="M19" s="30"/>
    </row>
    <row r="20" spans="2:13">
      <c r="B20" s="30"/>
      <c r="C20" s="30"/>
      <c r="D20" s="30"/>
      <c r="E20" s="30"/>
      <c r="F20" s="30"/>
      <c r="G20" s="30"/>
      <c r="H20" s="30"/>
      <c r="I20" s="30"/>
      <c r="J20" s="30"/>
      <c r="K20" s="30"/>
      <c r="L20" s="30"/>
      <c r="M20" s="30"/>
    </row>
    <row r="21" spans="2:13">
      <c r="B21" s="30"/>
      <c r="C21" s="30"/>
      <c r="D21" s="30"/>
      <c r="E21" s="30"/>
      <c r="F21" s="30"/>
      <c r="G21" s="30"/>
      <c r="H21" s="30"/>
      <c r="I21" s="30"/>
      <c r="J21" s="30"/>
      <c r="K21" s="30"/>
      <c r="L21" s="30"/>
      <c r="M21" s="30"/>
    </row>
    <row r="22" spans="2:13">
      <c r="B22" s="30"/>
      <c r="C22" s="30"/>
      <c r="D22" s="30"/>
      <c r="E22" s="30"/>
      <c r="F22" s="30"/>
      <c r="G22" s="30"/>
      <c r="H22" s="30"/>
      <c r="I22" s="30"/>
      <c r="J22" s="30"/>
      <c r="K22" s="30"/>
      <c r="L22" s="30"/>
      <c r="M22" s="30"/>
    </row>
    <row r="23" spans="2:13">
      <c r="B23" s="30"/>
      <c r="C23" s="30"/>
      <c r="D23" s="30"/>
      <c r="E23" s="30"/>
      <c r="F23" s="30"/>
      <c r="G23" s="30"/>
      <c r="H23" s="30"/>
      <c r="I23" s="30"/>
      <c r="J23" s="30"/>
      <c r="K23" s="30"/>
      <c r="L23" s="30"/>
      <c r="M23" s="30"/>
    </row>
    <row r="24" spans="2:13">
      <c r="B24" s="30"/>
      <c r="C24" s="30"/>
      <c r="D24" s="30"/>
      <c r="E24" s="30"/>
      <c r="F24" s="30"/>
      <c r="G24" s="30"/>
      <c r="H24" s="30"/>
      <c r="I24" s="30"/>
      <c r="J24" s="30"/>
      <c r="K24" s="30"/>
      <c r="L24" s="30"/>
      <c r="M24" s="30"/>
    </row>
    <row r="25" spans="2:13">
      <c r="B25" s="30"/>
      <c r="C25" s="30"/>
      <c r="D25" s="30"/>
      <c r="E25" s="30"/>
      <c r="F25" s="30"/>
      <c r="G25" s="30"/>
      <c r="H25" s="30"/>
      <c r="I25" s="30"/>
      <c r="J25" s="30"/>
      <c r="K25" s="30"/>
      <c r="L25" s="30"/>
      <c r="M25" s="30"/>
    </row>
    <row r="26" spans="2:13">
      <c r="B26" s="30"/>
      <c r="C26" s="30"/>
      <c r="D26" s="30"/>
      <c r="E26" s="30"/>
      <c r="F26" s="30"/>
      <c r="G26" s="30"/>
      <c r="H26" s="30"/>
      <c r="I26" s="30"/>
      <c r="J26" s="30"/>
      <c r="K26" s="30"/>
      <c r="L26" s="30"/>
      <c r="M26" s="30"/>
    </row>
    <row r="27" spans="2:13">
      <c r="B27" s="30"/>
      <c r="C27" s="30"/>
      <c r="D27" s="30"/>
      <c r="E27" s="30"/>
      <c r="F27" s="30"/>
      <c r="G27" s="30"/>
      <c r="H27" s="30"/>
      <c r="I27" s="30"/>
      <c r="J27" s="30"/>
      <c r="K27" s="30"/>
      <c r="L27" s="30"/>
      <c r="M27" s="30"/>
    </row>
    <row r="28" spans="2:13">
      <c r="B28" s="30"/>
      <c r="C28" s="30"/>
      <c r="D28" s="30"/>
      <c r="E28" s="30"/>
      <c r="F28" s="30"/>
      <c r="G28" s="30"/>
      <c r="H28" s="30"/>
      <c r="I28" s="30"/>
      <c r="J28" s="30"/>
      <c r="K28" s="30"/>
      <c r="L28" s="30"/>
      <c r="M28" s="30"/>
    </row>
    <row r="29" spans="2:13">
      <c r="B29" s="30"/>
      <c r="C29" s="30"/>
      <c r="D29" s="30"/>
      <c r="E29" s="30"/>
      <c r="F29" s="30"/>
      <c r="G29" s="30"/>
      <c r="H29" s="30"/>
      <c r="I29" s="30"/>
      <c r="J29" s="30"/>
      <c r="K29" s="30"/>
      <c r="L29" s="30"/>
      <c r="M29" s="30"/>
    </row>
    <row r="30" spans="2:13">
      <c r="B30" s="30"/>
      <c r="C30" s="30"/>
      <c r="D30" s="30"/>
      <c r="E30" s="30"/>
      <c r="F30" s="30"/>
      <c r="G30" s="30"/>
      <c r="H30" s="30"/>
      <c r="I30" s="30"/>
      <c r="J30" s="30"/>
      <c r="K30" s="30"/>
      <c r="L30" s="30"/>
      <c r="M30" s="30"/>
    </row>
    <row r="31" spans="2:13">
      <c r="B31" s="30"/>
      <c r="C31" s="30"/>
      <c r="D31" s="30"/>
      <c r="E31" s="30"/>
      <c r="F31" s="30"/>
      <c r="G31" s="30"/>
      <c r="H31" s="30"/>
      <c r="I31" s="30"/>
      <c r="J31" s="30"/>
      <c r="K31" s="30"/>
      <c r="L31" s="30"/>
      <c r="M31" s="30"/>
    </row>
    <row r="32" spans="2:13">
      <c r="B32" s="30"/>
      <c r="C32" s="30"/>
      <c r="D32" s="30"/>
      <c r="E32" s="30"/>
      <c r="F32" s="30"/>
      <c r="G32" s="30"/>
      <c r="H32" s="30"/>
      <c r="I32" s="30"/>
      <c r="J32" s="30"/>
      <c r="K32" s="30"/>
      <c r="L32" s="30"/>
      <c r="M32" s="30"/>
    </row>
    <row r="33" spans="2:13">
      <c r="B33" s="30"/>
      <c r="C33" s="30"/>
      <c r="D33" s="30"/>
      <c r="E33" s="30"/>
      <c r="F33" s="30"/>
      <c r="G33" s="30"/>
      <c r="H33" s="30"/>
      <c r="I33" s="30"/>
      <c r="J33" s="30"/>
      <c r="K33" s="30"/>
      <c r="L33" s="30"/>
      <c r="M33" s="30"/>
    </row>
    <row r="34" spans="2:13">
      <c r="B34" s="30"/>
      <c r="C34" s="30"/>
      <c r="D34" s="30"/>
      <c r="E34" s="30"/>
      <c r="F34" s="30"/>
      <c r="G34" s="30"/>
      <c r="H34" s="30"/>
      <c r="I34" s="30"/>
      <c r="J34" s="30"/>
      <c r="K34" s="30"/>
      <c r="L34" s="30"/>
      <c r="M34" s="30"/>
    </row>
    <row r="35" spans="2:13">
      <c r="B35" s="30"/>
      <c r="C35" s="30"/>
      <c r="D35" s="30"/>
      <c r="E35" s="30"/>
      <c r="F35" s="30"/>
      <c r="G35" s="30"/>
      <c r="H35" s="30"/>
      <c r="I35" s="30"/>
      <c r="J35" s="30"/>
      <c r="K35" s="30"/>
      <c r="L35" s="30"/>
      <c r="M35" s="30"/>
    </row>
    <row r="36" spans="2:13">
      <c r="B36" s="30"/>
      <c r="C36" s="30"/>
      <c r="D36" s="30"/>
      <c r="E36" s="30"/>
      <c r="F36" s="30"/>
      <c r="G36" s="30"/>
      <c r="H36" s="30"/>
      <c r="I36" s="30"/>
      <c r="J36" s="30"/>
      <c r="K36" s="30"/>
      <c r="L36" s="30"/>
      <c r="M36" s="30"/>
    </row>
    <row r="37" spans="2:13">
      <c r="B37" s="30"/>
      <c r="C37" s="30"/>
      <c r="D37" s="30"/>
      <c r="E37" s="30"/>
      <c r="F37" s="30"/>
      <c r="G37" s="30"/>
      <c r="H37" s="30"/>
      <c r="I37" s="30"/>
      <c r="J37" s="30"/>
      <c r="K37" s="30"/>
      <c r="L37" s="30"/>
      <c r="M37" s="30"/>
    </row>
    <row r="38" spans="2:13">
      <c r="B38" s="30"/>
      <c r="C38" s="30"/>
      <c r="D38" s="30"/>
      <c r="E38" s="30"/>
      <c r="F38" s="30"/>
      <c r="G38" s="30"/>
      <c r="H38" s="30"/>
      <c r="I38" s="30"/>
      <c r="J38" s="30"/>
      <c r="K38" s="30"/>
      <c r="L38" s="30"/>
      <c r="M38" s="30"/>
    </row>
    <row r="39" spans="2:13">
      <c r="B39" s="30"/>
      <c r="C39" s="30"/>
      <c r="D39" s="30"/>
      <c r="E39" s="30"/>
      <c r="F39" s="30"/>
      <c r="G39" s="30"/>
      <c r="H39" s="30"/>
      <c r="I39" s="30"/>
      <c r="J39" s="30"/>
      <c r="K39" s="30"/>
      <c r="L39" s="30"/>
      <c r="M39" s="30"/>
    </row>
    <row r="40" spans="2:13">
      <c r="B40" s="30"/>
      <c r="C40" s="30"/>
      <c r="D40" s="30"/>
      <c r="E40" s="30"/>
      <c r="F40" s="30"/>
      <c r="G40" s="30"/>
      <c r="H40" s="30"/>
      <c r="I40" s="30"/>
      <c r="J40" s="30"/>
      <c r="K40" s="30"/>
      <c r="L40" s="30"/>
      <c r="M40" s="30"/>
    </row>
    <row r="41" spans="2:13">
      <c r="B41" s="30"/>
      <c r="C41" s="30"/>
      <c r="D41" s="30"/>
      <c r="E41" s="30"/>
      <c r="F41" s="30"/>
      <c r="G41" s="30"/>
      <c r="H41" s="30"/>
      <c r="I41" s="30"/>
      <c r="J41" s="30"/>
      <c r="K41" s="30"/>
      <c r="L41" s="30"/>
      <c r="M41" s="30"/>
    </row>
    <row r="42" spans="2:13">
      <c r="B42" s="30"/>
      <c r="C42" s="30"/>
      <c r="D42" s="30"/>
      <c r="E42" s="30"/>
      <c r="F42" s="30"/>
      <c r="G42" s="30"/>
      <c r="H42" s="30"/>
      <c r="I42" s="30"/>
      <c r="J42" s="30"/>
      <c r="K42" s="30"/>
      <c r="L42" s="30"/>
      <c r="M42" s="30"/>
    </row>
    <row r="43" spans="2:13">
      <c r="B43" s="30"/>
      <c r="C43" s="30"/>
      <c r="D43" s="30"/>
      <c r="E43" s="30"/>
      <c r="F43" s="30"/>
      <c r="G43" s="30"/>
      <c r="H43" s="30"/>
      <c r="I43" s="30"/>
      <c r="J43" s="30"/>
      <c r="K43" s="30"/>
      <c r="L43" s="30"/>
      <c r="M43" s="30"/>
    </row>
    <row r="44" spans="2:13">
      <c r="B44" s="30"/>
      <c r="C44" s="30"/>
      <c r="D44" s="30"/>
      <c r="E44" s="30"/>
      <c r="F44" s="30"/>
      <c r="G44" s="30"/>
      <c r="H44" s="30"/>
      <c r="I44" s="30"/>
      <c r="J44" s="30"/>
      <c r="K44" s="30"/>
      <c r="L44" s="30"/>
      <c r="M44" s="30"/>
    </row>
    <row r="45" spans="2:13">
      <c r="B45" s="30"/>
      <c r="C45" s="30"/>
      <c r="D45" s="30"/>
      <c r="E45" s="30"/>
      <c r="F45" s="30"/>
      <c r="G45" s="30"/>
      <c r="H45" s="30"/>
      <c r="I45" s="30"/>
      <c r="J45" s="30"/>
      <c r="K45" s="30"/>
      <c r="L45" s="30"/>
      <c r="M45" s="30"/>
    </row>
    <row r="46" spans="2:13">
      <c r="B46" s="30"/>
      <c r="C46" s="30"/>
      <c r="D46" s="30"/>
      <c r="E46" s="30"/>
      <c r="F46" s="30"/>
      <c r="G46" s="30"/>
      <c r="H46" s="30"/>
      <c r="I46" s="30"/>
      <c r="J46" s="30"/>
      <c r="K46" s="30"/>
      <c r="L46" s="30"/>
      <c r="M46" s="30"/>
    </row>
    <row r="47" spans="2:13">
      <c r="B47" s="30"/>
      <c r="C47" s="30"/>
      <c r="D47" s="30"/>
      <c r="E47" s="30"/>
      <c r="F47" s="30"/>
      <c r="G47" s="30"/>
      <c r="H47" s="30"/>
      <c r="I47" s="30"/>
      <c r="J47" s="30"/>
      <c r="K47" s="30"/>
      <c r="L47" s="30"/>
      <c r="M47" s="30"/>
    </row>
    <row r="48" spans="2:13">
      <c r="B48" s="30"/>
      <c r="C48" s="30"/>
      <c r="D48" s="30"/>
      <c r="E48" s="30"/>
      <c r="F48" s="30"/>
      <c r="G48" s="30"/>
      <c r="H48" s="30"/>
      <c r="I48" s="30"/>
      <c r="J48" s="30"/>
      <c r="K48" s="30"/>
      <c r="L48" s="30"/>
      <c r="M48" s="30"/>
    </row>
    <row r="49" spans="2:13">
      <c r="B49" s="30"/>
      <c r="C49" s="30"/>
      <c r="D49" s="30"/>
      <c r="E49" s="30"/>
      <c r="F49" s="30"/>
      <c r="G49" s="30"/>
      <c r="H49" s="30"/>
      <c r="I49" s="30"/>
      <c r="J49" s="30"/>
      <c r="K49" s="30"/>
      <c r="L49" s="30"/>
      <c r="M49" s="30"/>
    </row>
    <row r="50" spans="2:13">
      <c r="B50" s="30"/>
      <c r="C50" s="30"/>
      <c r="D50" s="30"/>
      <c r="E50" s="30"/>
      <c r="F50" s="30"/>
      <c r="G50" s="30"/>
      <c r="H50" s="30"/>
      <c r="I50" s="30"/>
      <c r="J50" s="30"/>
      <c r="K50" s="30"/>
      <c r="L50" s="30"/>
      <c r="M50" s="30"/>
    </row>
    <row r="51" spans="2:13">
      <c r="B51" s="30"/>
      <c r="C51" s="30"/>
      <c r="D51" s="30"/>
      <c r="E51" s="30"/>
      <c r="F51" s="30"/>
      <c r="G51" s="30"/>
      <c r="H51" s="30"/>
      <c r="I51" s="30"/>
      <c r="J51" s="30"/>
      <c r="K51" s="30"/>
      <c r="L51" s="30"/>
      <c r="M51" s="30"/>
    </row>
    <row r="52" spans="2:13">
      <c r="B52" s="30"/>
      <c r="C52" s="30"/>
      <c r="D52" s="30"/>
      <c r="E52" s="30"/>
      <c r="F52" s="30"/>
      <c r="G52" s="30"/>
      <c r="H52" s="30"/>
      <c r="I52" s="30"/>
      <c r="J52" s="30"/>
      <c r="K52" s="30"/>
      <c r="L52" s="30"/>
      <c r="M52" s="30"/>
    </row>
    <row r="53" spans="2:13">
      <c r="B53" s="30"/>
      <c r="C53" s="30"/>
      <c r="D53" s="30"/>
      <c r="E53" s="30"/>
      <c r="F53" s="30"/>
      <c r="G53" s="30"/>
      <c r="H53" s="30"/>
      <c r="I53" s="30"/>
      <c r="J53" s="30"/>
      <c r="K53" s="30"/>
      <c r="L53" s="30"/>
      <c r="M53" s="30"/>
    </row>
    <row r="54" spans="2:13">
      <c r="B54" s="30"/>
      <c r="C54" s="30"/>
      <c r="D54" s="30"/>
      <c r="E54" s="30"/>
      <c r="F54" s="30"/>
      <c r="G54" s="30"/>
      <c r="H54" s="30"/>
      <c r="I54" s="30"/>
      <c r="J54" s="30"/>
      <c r="K54" s="30"/>
      <c r="L54" s="30"/>
      <c r="M54" s="30"/>
    </row>
    <row r="55" spans="2:13">
      <c r="B55" s="30"/>
      <c r="C55" s="30"/>
      <c r="D55" s="30"/>
      <c r="E55" s="30"/>
      <c r="F55" s="30"/>
      <c r="G55" s="30"/>
      <c r="H55" s="30"/>
      <c r="I55" s="30"/>
      <c r="J55" s="30"/>
      <c r="K55" s="30"/>
      <c r="L55" s="30"/>
      <c r="M55" s="30"/>
    </row>
    <row r="56" spans="2:13">
      <c r="B56" s="30"/>
      <c r="C56" s="30"/>
      <c r="D56" s="30"/>
      <c r="E56" s="30"/>
      <c r="F56" s="30"/>
      <c r="G56" s="30"/>
      <c r="H56" s="30"/>
      <c r="I56" s="30"/>
      <c r="J56" s="30"/>
      <c r="K56" s="30"/>
      <c r="L56" s="30"/>
      <c r="M56" s="30"/>
    </row>
    <row r="57" spans="2:13">
      <c r="B57" s="30"/>
      <c r="C57" s="30"/>
      <c r="D57" s="30"/>
      <c r="E57" s="30"/>
      <c r="F57" s="30"/>
      <c r="G57" s="30"/>
      <c r="H57" s="30"/>
      <c r="I57" s="30"/>
      <c r="J57" s="30"/>
      <c r="K57" s="30"/>
      <c r="L57" s="30"/>
      <c r="M57" s="30"/>
    </row>
    <row r="58" spans="2:13">
      <c r="B58" s="30"/>
      <c r="C58" s="30"/>
      <c r="D58" s="30"/>
      <c r="E58" s="30"/>
      <c r="F58" s="30"/>
      <c r="G58" s="30"/>
      <c r="H58" s="30"/>
      <c r="I58" s="30"/>
      <c r="J58" s="30"/>
      <c r="K58" s="30"/>
      <c r="L58" s="30"/>
      <c r="M58" s="30"/>
    </row>
    <row r="59" spans="2:13">
      <c r="B59" s="30"/>
      <c r="C59" s="30"/>
      <c r="D59" s="30"/>
      <c r="E59" s="30"/>
      <c r="F59" s="30"/>
      <c r="G59" s="30"/>
      <c r="H59" s="30"/>
      <c r="I59" s="30"/>
      <c r="J59" s="30"/>
      <c r="K59" s="30"/>
      <c r="L59" s="30"/>
      <c r="M59" s="30"/>
    </row>
    <row r="60" spans="2:13">
      <c r="B60" s="30"/>
      <c r="C60" s="30"/>
      <c r="D60" s="30"/>
      <c r="E60" s="30"/>
      <c r="F60" s="30"/>
      <c r="G60" s="30"/>
      <c r="H60" s="30"/>
      <c r="I60" s="30"/>
      <c r="J60" s="30"/>
      <c r="K60" s="30"/>
      <c r="L60" s="30"/>
      <c r="M60" s="30"/>
    </row>
    <row r="61" spans="2:13">
      <c r="B61" s="30"/>
      <c r="C61" s="30"/>
      <c r="D61" s="30"/>
      <c r="E61" s="30"/>
      <c r="F61" s="30"/>
      <c r="G61" s="30"/>
      <c r="H61" s="30"/>
      <c r="I61" s="30"/>
      <c r="J61" s="30"/>
      <c r="K61" s="30"/>
      <c r="L61" s="30"/>
      <c r="M61" s="30"/>
    </row>
    <row r="62" spans="2:13">
      <c r="B62" s="30"/>
      <c r="C62" s="30"/>
      <c r="D62" s="30"/>
      <c r="E62" s="30"/>
      <c r="F62" s="30"/>
      <c r="G62" s="30"/>
      <c r="H62" s="30"/>
      <c r="I62" s="30"/>
      <c r="J62" s="30"/>
      <c r="K62" s="30"/>
      <c r="L62" s="30"/>
      <c r="M62" s="30"/>
    </row>
    <row r="63" spans="2:13">
      <c r="B63" s="30"/>
      <c r="C63" s="30"/>
      <c r="D63" s="30"/>
      <c r="E63" s="30"/>
      <c r="F63" s="30"/>
      <c r="G63" s="30"/>
      <c r="H63" s="30"/>
      <c r="I63" s="30"/>
      <c r="J63" s="30"/>
      <c r="K63" s="30"/>
      <c r="L63" s="30"/>
      <c r="M63" s="30"/>
    </row>
    <row r="64" spans="2:13">
      <c r="B64" s="30"/>
      <c r="C64" s="30"/>
      <c r="D64" s="30"/>
      <c r="E64" s="30"/>
      <c r="F64" s="30"/>
      <c r="G64" s="30"/>
      <c r="H64" s="30"/>
      <c r="I64" s="30"/>
      <c r="J64" s="30"/>
      <c r="K64" s="30"/>
      <c r="L64" s="30"/>
      <c r="M64" s="30"/>
    </row>
    <row r="65" spans="2:13">
      <c r="B65" s="30"/>
      <c r="C65" s="30"/>
      <c r="D65" s="30"/>
      <c r="E65" s="30"/>
      <c r="F65" s="30"/>
      <c r="G65" s="30"/>
      <c r="H65" s="30"/>
      <c r="I65" s="30"/>
      <c r="J65" s="30"/>
      <c r="K65" s="30"/>
      <c r="L65" s="30"/>
      <c r="M65" s="30"/>
    </row>
    <row r="66" spans="2:13">
      <c r="B66" s="30"/>
      <c r="C66" s="30"/>
      <c r="D66" s="30"/>
      <c r="E66" s="30"/>
      <c r="F66" s="30"/>
      <c r="G66" s="30"/>
      <c r="H66" s="30"/>
      <c r="I66" s="30"/>
      <c r="J66" s="30"/>
      <c r="K66" s="30"/>
      <c r="L66" s="30"/>
      <c r="M66" s="30"/>
    </row>
    <row r="67" spans="2:13">
      <c r="B67" s="30"/>
      <c r="C67" s="30"/>
      <c r="D67" s="30"/>
      <c r="E67" s="30"/>
      <c r="F67" s="30"/>
      <c r="G67" s="30"/>
      <c r="H67" s="30"/>
      <c r="I67" s="30"/>
      <c r="J67" s="30"/>
      <c r="K67" s="30"/>
      <c r="L67" s="30"/>
      <c r="M67" s="30"/>
    </row>
    <row r="68" spans="2:13">
      <c r="B68" s="30"/>
      <c r="C68" s="30"/>
      <c r="D68" s="30"/>
      <c r="E68" s="30"/>
      <c r="F68" s="30"/>
      <c r="G68" s="30"/>
      <c r="H68" s="30"/>
      <c r="I68" s="30"/>
      <c r="J68" s="30"/>
      <c r="K68" s="30"/>
      <c r="L68" s="30"/>
      <c r="M68" s="30"/>
    </row>
    <row r="69" spans="2:13">
      <c r="B69" s="30"/>
      <c r="C69" s="30"/>
      <c r="D69" s="30"/>
      <c r="E69" s="30"/>
      <c r="F69" s="30"/>
      <c r="G69" s="30"/>
      <c r="H69" s="30"/>
      <c r="I69" s="30"/>
      <c r="J69" s="30"/>
      <c r="K69" s="30"/>
      <c r="L69" s="30"/>
      <c r="M69" s="30"/>
    </row>
    <row r="70" spans="2:13">
      <c r="B70" s="30"/>
      <c r="C70" s="30"/>
      <c r="D70" s="30"/>
      <c r="E70" s="30"/>
      <c r="F70" s="30"/>
      <c r="G70" s="30"/>
      <c r="H70" s="30"/>
      <c r="I70" s="30"/>
      <c r="J70" s="30"/>
      <c r="K70" s="30"/>
      <c r="L70" s="30"/>
      <c r="M70" s="30"/>
    </row>
    <row r="71" spans="2:13">
      <c r="B71" s="30"/>
      <c r="C71" s="30"/>
      <c r="D71" s="30"/>
      <c r="E71" s="30"/>
      <c r="F71" s="30"/>
      <c r="G71" s="30"/>
      <c r="H71" s="30"/>
      <c r="I71" s="30"/>
      <c r="J71" s="30"/>
      <c r="K71" s="30"/>
      <c r="L71" s="30"/>
      <c r="M71" s="30"/>
    </row>
    <row r="72" spans="2:13">
      <c r="B72" s="30"/>
      <c r="C72" s="30"/>
      <c r="D72" s="30"/>
      <c r="E72" s="30"/>
      <c r="F72" s="30"/>
      <c r="G72" s="30"/>
      <c r="H72" s="30"/>
      <c r="I72" s="30"/>
      <c r="J72" s="30"/>
      <c r="K72" s="30"/>
      <c r="L72" s="30"/>
      <c r="M72" s="30"/>
    </row>
    <row r="73" spans="2:13">
      <c r="B73" s="30"/>
      <c r="C73" s="30"/>
      <c r="D73" s="30"/>
      <c r="E73" s="30"/>
      <c r="F73" s="30"/>
      <c r="G73" s="30"/>
      <c r="H73" s="30"/>
      <c r="I73" s="30"/>
      <c r="J73" s="30"/>
      <c r="K73" s="30"/>
      <c r="L73" s="30"/>
      <c r="M73" s="30"/>
    </row>
    <row r="74" spans="2:13">
      <c r="B74" s="30"/>
      <c r="C74" s="30"/>
      <c r="D74" s="30"/>
      <c r="E74" s="30"/>
      <c r="F74" s="30"/>
      <c r="G74" s="30"/>
      <c r="H74" s="30"/>
      <c r="I74" s="30"/>
      <c r="J74" s="30"/>
      <c r="K74" s="30"/>
      <c r="L74" s="30"/>
      <c r="M74" s="30"/>
    </row>
    <row r="75" spans="2:13">
      <c r="B75" s="30"/>
      <c r="C75" s="30"/>
      <c r="D75" s="30"/>
      <c r="E75" s="30"/>
      <c r="F75" s="30"/>
      <c r="G75" s="30"/>
      <c r="H75" s="30"/>
      <c r="I75" s="30"/>
      <c r="J75" s="30"/>
      <c r="K75" s="30"/>
      <c r="L75" s="30"/>
      <c r="M75" s="30"/>
    </row>
    <row r="76" spans="2:13">
      <c r="B76" s="30"/>
      <c r="C76" s="30"/>
      <c r="D76" s="30"/>
      <c r="E76" s="30"/>
      <c r="F76" s="30"/>
      <c r="G76" s="30"/>
      <c r="H76" s="30"/>
      <c r="I76" s="30"/>
      <c r="J76" s="30"/>
      <c r="K76" s="30"/>
      <c r="L76" s="30"/>
      <c r="M76" s="30"/>
    </row>
    <row r="77" spans="2:13">
      <c r="B77" s="30"/>
      <c r="C77" s="30"/>
      <c r="D77" s="30"/>
      <c r="E77" s="30"/>
      <c r="F77" s="30"/>
      <c r="G77" s="30"/>
      <c r="H77" s="30"/>
      <c r="I77" s="30"/>
      <c r="J77" s="30"/>
      <c r="K77" s="30"/>
      <c r="L77" s="30"/>
      <c r="M77" s="30"/>
    </row>
    <row r="78" spans="2:13">
      <c r="B78" s="30"/>
      <c r="C78" s="30"/>
      <c r="D78" s="30"/>
      <c r="E78" s="30"/>
      <c r="F78" s="30"/>
      <c r="G78" s="30"/>
      <c r="H78" s="30"/>
      <c r="I78" s="30"/>
      <c r="J78" s="30"/>
      <c r="K78" s="30"/>
      <c r="L78" s="30"/>
      <c r="M78" s="30"/>
    </row>
    <row r="79" spans="2:13">
      <c r="B79" s="30"/>
      <c r="C79" s="30"/>
      <c r="D79" s="30"/>
      <c r="E79" s="30"/>
      <c r="F79" s="30"/>
      <c r="G79" s="30"/>
      <c r="H79" s="30"/>
      <c r="I79" s="30"/>
      <c r="J79" s="30"/>
      <c r="K79" s="30"/>
      <c r="L79" s="30"/>
      <c r="M79" s="30"/>
    </row>
    <row r="80" spans="2:13">
      <c r="B80" s="30"/>
      <c r="C80" s="30"/>
      <c r="D80" s="30"/>
      <c r="E80" s="30"/>
      <c r="F80" s="30"/>
      <c r="G80" s="30"/>
      <c r="H80" s="30"/>
      <c r="I80" s="30"/>
      <c r="J80" s="30"/>
      <c r="K80" s="30"/>
      <c r="L80" s="30"/>
      <c r="M80" s="30"/>
    </row>
    <row r="81" spans="2:13">
      <c r="B81" s="30"/>
      <c r="C81" s="30"/>
      <c r="D81" s="30"/>
      <c r="E81" s="30"/>
      <c r="F81" s="30"/>
      <c r="G81" s="30"/>
      <c r="H81" s="30"/>
      <c r="I81" s="30"/>
      <c r="J81" s="30"/>
      <c r="K81" s="30"/>
      <c r="L81" s="30"/>
      <c r="M81" s="30"/>
    </row>
    <row r="82" spans="2:13">
      <c r="B82" s="30"/>
      <c r="C82" s="30"/>
      <c r="D82" s="30"/>
      <c r="E82" s="30"/>
      <c r="F82" s="30"/>
      <c r="G82" s="30"/>
      <c r="H82" s="30"/>
      <c r="I82" s="30"/>
      <c r="J82" s="30"/>
      <c r="K82" s="30"/>
      <c r="L82" s="30"/>
      <c r="M82" s="30"/>
    </row>
    <row r="83" spans="2:13">
      <c r="B83" s="30"/>
      <c r="C83" s="30"/>
      <c r="D83" s="30"/>
      <c r="E83" s="30"/>
      <c r="F83" s="30"/>
      <c r="G83" s="30"/>
      <c r="H83" s="30"/>
      <c r="I83" s="30"/>
      <c r="J83" s="30"/>
      <c r="K83" s="30"/>
      <c r="L83" s="30"/>
      <c r="M83" s="30"/>
    </row>
    <row r="84" spans="2:13">
      <c r="B84" s="30"/>
      <c r="C84" s="30"/>
      <c r="D84" s="30"/>
      <c r="E84" s="30"/>
      <c r="F84" s="30"/>
      <c r="G84" s="30"/>
      <c r="H84" s="30"/>
      <c r="I84" s="30"/>
      <c r="J84" s="30"/>
      <c r="K84" s="30"/>
      <c r="L84" s="30"/>
      <c r="M84" s="30"/>
    </row>
    <row r="85" spans="2:13">
      <c r="B85" s="30"/>
      <c r="C85" s="30"/>
      <c r="D85" s="30"/>
      <c r="E85" s="30"/>
      <c r="F85" s="30"/>
      <c r="G85" s="30"/>
      <c r="H85" s="30"/>
      <c r="I85" s="30"/>
      <c r="J85" s="30"/>
      <c r="K85" s="30"/>
      <c r="L85" s="30"/>
      <c r="M85" s="30"/>
    </row>
    <row r="86" spans="2:13">
      <c r="B86" s="30"/>
      <c r="C86" s="30"/>
      <c r="D86" s="30"/>
      <c r="E86" s="30"/>
      <c r="F86" s="30"/>
      <c r="G86" s="30"/>
      <c r="H86" s="30"/>
      <c r="I86" s="30"/>
      <c r="J86" s="30"/>
      <c r="K86" s="30"/>
      <c r="L86" s="30"/>
      <c r="M86" s="30"/>
    </row>
    <row r="87" spans="2:13">
      <c r="B87" s="30"/>
      <c r="C87" s="30"/>
      <c r="D87" s="30"/>
      <c r="E87" s="30"/>
      <c r="F87" s="30"/>
      <c r="G87" s="30"/>
      <c r="H87" s="30"/>
      <c r="I87" s="30"/>
      <c r="J87" s="30"/>
      <c r="K87" s="30"/>
      <c r="L87" s="30"/>
      <c r="M87" s="30"/>
    </row>
    <row r="88" spans="2:13">
      <c r="B88" s="30"/>
      <c r="C88" s="30"/>
      <c r="D88" s="30"/>
      <c r="E88" s="30"/>
      <c r="F88" s="30"/>
      <c r="G88" s="30"/>
      <c r="H88" s="30"/>
      <c r="I88" s="30"/>
      <c r="J88" s="30"/>
      <c r="K88" s="30"/>
      <c r="L88" s="30"/>
      <c r="M88" s="30"/>
    </row>
    <row r="89" spans="2:13">
      <c r="B89" s="30"/>
      <c r="C89" s="30"/>
      <c r="D89" s="30"/>
      <c r="E89" s="30"/>
      <c r="F89" s="30"/>
      <c r="G89" s="30"/>
      <c r="H89" s="30"/>
      <c r="I89" s="30"/>
      <c r="J89" s="30"/>
      <c r="K89" s="30"/>
      <c r="L89" s="30"/>
      <c r="M89" s="30"/>
    </row>
    <row r="90" spans="2:13">
      <c r="B90" s="30"/>
      <c r="C90" s="30"/>
      <c r="D90" s="30"/>
      <c r="E90" s="30"/>
      <c r="F90" s="30"/>
      <c r="G90" s="30"/>
      <c r="H90" s="30"/>
      <c r="I90" s="30"/>
      <c r="J90" s="30"/>
      <c r="K90" s="30"/>
      <c r="L90" s="30"/>
      <c r="M90" s="30"/>
    </row>
    <row r="91" spans="2:13">
      <c r="B91" s="30"/>
      <c r="C91" s="30"/>
      <c r="D91" s="30"/>
      <c r="E91" s="30"/>
      <c r="F91" s="30"/>
      <c r="G91" s="30"/>
      <c r="H91" s="30"/>
      <c r="I91" s="30"/>
      <c r="J91" s="30"/>
      <c r="K91" s="30"/>
      <c r="L91" s="30"/>
      <c r="M91" s="30"/>
    </row>
    <row r="92" spans="2:13">
      <c r="B92" s="30"/>
      <c r="C92" s="30"/>
      <c r="D92" s="30"/>
      <c r="E92" s="30"/>
      <c r="F92" s="30"/>
      <c r="G92" s="30"/>
      <c r="H92" s="30"/>
      <c r="I92" s="30"/>
      <c r="J92" s="30"/>
      <c r="K92" s="30"/>
      <c r="L92" s="30"/>
      <c r="M92" s="30"/>
    </row>
    <row r="93" spans="2:13">
      <c r="B93" s="30"/>
      <c r="C93" s="30"/>
      <c r="D93" s="30"/>
      <c r="E93" s="30"/>
      <c r="F93" s="30"/>
      <c r="G93" s="30"/>
      <c r="H93" s="30"/>
      <c r="I93" s="30"/>
      <c r="J93" s="30"/>
      <c r="K93" s="30"/>
      <c r="L93" s="30"/>
      <c r="M93" s="30"/>
    </row>
    <row r="94" spans="2:13">
      <c r="B94" s="30"/>
      <c r="C94" s="30"/>
      <c r="D94" s="30"/>
      <c r="E94" s="30"/>
      <c r="F94" s="30"/>
      <c r="G94" s="30"/>
      <c r="H94" s="30"/>
      <c r="I94" s="30"/>
      <c r="J94" s="30"/>
      <c r="K94" s="30"/>
      <c r="L94" s="30"/>
      <c r="M94" s="30"/>
    </row>
    <row r="95" spans="2:13">
      <c r="B95" s="30"/>
      <c r="C95" s="30"/>
      <c r="D95" s="30"/>
      <c r="E95" s="30"/>
      <c r="F95" s="30"/>
      <c r="G95" s="30"/>
      <c r="H95" s="30"/>
      <c r="I95" s="30"/>
      <c r="J95" s="30"/>
      <c r="K95" s="30"/>
      <c r="L95" s="30"/>
      <c r="M95" s="30"/>
    </row>
    <row r="96" spans="2:13">
      <c r="B96" s="30"/>
      <c r="C96" s="30"/>
      <c r="D96" s="30"/>
      <c r="E96" s="30"/>
      <c r="F96" s="30"/>
      <c r="G96" s="30"/>
      <c r="H96" s="30"/>
      <c r="I96" s="30"/>
      <c r="J96" s="30"/>
      <c r="K96" s="30"/>
      <c r="L96" s="30"/>
      <c r="M96" s="30"/>
    </row>
  </sheetData>
  <sheetProtection algorithmName="SHA-512" hashValue="uYHILzUtb0nizWPEhBmFkEe0k0fA92HH7WcnWp+8nHQtTJI3LXx1ZL0o0Q9dvk3wf4reNNq0z0yKm4XfZU/4Xw==" saltValue="xbz5guLWCLUdr93iXCBk2Q==" spinCount="100000" sheet="1" selectLockedCells="1"/>
  <mergeCells count="9">
    <mergeCell ref="B13:M13"/>
    <mergeCell ref="B11:M11"/>
    <mergeCell ref="B3:AE4"/>
    <mergeCell ref="B6:M6"/>
    <mergeCell ref="B7:M7"/>
    <mergeCell ref="B12:M12"/>
    <mergeCell ref="B8:M8"/>
    <mergeCell ref="B9:M9"/>
    <mergeCell ref="B10:M1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29937-0D06-446C-B91D-AA5009F8406B}">
  <dimension ref="A3:S133"/>
  <sheetViews>
    <sheetView showRowColHeaders="0" zoomScaleNormal="100" workbookViewId="0">
      <selection activeCell="L20" sqref="L20"/>
    </sheetView>
  </sheetViews>
  <sheetFormatPr defaultColWidth="9.140625" defaultRowHeight="15"/>
  <cols>
    <col min="1" max="2" width="9.140625" style="133"/>
    <col min="3" max="3" width="10.85546875" style="133" customWidth="1"/>
    <col min="4" max="12" width="9.140625" style="133"/>
    <col min="13" max="13" width="11.140625" style="133" customWidth="1"/>
    <col min="14" max="14" width="2" style="133" customWidth="1"/>
    <col min="15" max="16384" width="9.140625" style="133"/>
  </cols>
  <sheetData>
    <row r="3" spans="1:14" ht="12.75" customHeight="1">
      <c r="B3" s="227" t="s">
        <v>16</v>
      </c>
      <c r="C3" s="228"/>
      <c r="D3" s="228"/>
      <c r="E3" s="228"/>
      <c r="F3" s="228"/>
      <c r="G3" s="228"/>
      <c r="H3" s="228"/>
      <c r="I3" s="228"/>
      <c r="J3" s="228"/>
      <c r="K3" s="228"/>
      <c r="L3" s="228"/>
      <c r="M3" s="228"/>
      <c r="N3" s="229"/>
    </row>
    <row r="4" spans="1:14" ht="9.75" customHeight="1">
      <c r="B4" s="227"/>
      <c r="C4" s="228"/>
      <c r="D4" s="228"/>
      <c r="E4" s="228"/>
      <c r="F4" s="228"/>
      <c r="G4" s="228"/>
      <c r="H4" s="228"/>
      <c r="I4" s="228"/>
      <c r="J4" s="228"/>
      <c r="K4" s="228"/>
      <c r="L4" s="228"/>
      <c r="M4" s="228"/>
      <c r="N4" s="229"/>
    </row>
    <row r="5" spans="1:14" ht="15.75" customHeight="1" thickBot="1">
      <c r="B5" s="227"/>
      <c r="C5" s="228"/>
      <c r="D5" s="228"/>
      <c r="E5" s="228"/>
      <c r="F5" s="228"/>
      <c r="G5" s="228"/>
      <c r="H5" s="228"/>
      <c r="I5" s="228"/>
      <c r="J5" s="228"/>
      <c r="K5" s="228"/>
      <c r="L5" s="228"/>
      <c r="M5" s="228"/>
      <c r="N5" s="229"/>
    </row>
    <row r="6" spans="1:14" ht="15.75" thickTop="1">
      <c r="B6" s="201"/>
      <c r="C6" s="202"/>
      <c r="D6" s="202"/>
      <c r="E6" s="202"/>
      <c r="F6" s="202"/>
      <c r="G6" s="202"/>
      <c r="H6" s="202"/>
      <c r="I6" s="202"/>
      <c r="J6" s="202"/>
      <c r="K6" s="202"/>
      <c r="L6" s="202"/>
      <c r="M6" s="202"/>
      <c r="N6" s="203"/>
    </row>
    <row r="7" spans="1:14">
      <c r="A7" s="134"/>
      <c r="B7" s="241" t="s">
        <v>17</v>
      </c>
      <c r="C7" s="242"/>
      <c r="D7" s="242"/>
      <c r="E7" s="242"/>
      <c r="F7" s="242"/>
      <c r="G7" s="242"/>
      <c r="H7" s="242"/>
      <c r="I7" s="242"/>
      <c r="J7" s="242"/>
      <c r="K7" s="242"/>
      <c r="L7" s="242"/>
      <c r="M7" s="242"/>
      <c r="N7" s="118"/>
    </row>
    <row r="8" spans="1:14">
      <c r="B8" s="204"/>
      <c r="C8" s="205"/>
      <c r="D8" s="205"/>
      <c r="E8" s="205"/>
      <c r="F8" s="205"/>
      <c r="G8" s="205"/>
      <c r="H8" s="205"/>
      <c r="I8" s="205"/>
      <c r="J8" s="205"/>
      <c r="K8" s="205"/>
      <c r="L8" s="205"/>
      <c r="M8" s="205"/>
      <c r="N8" s="118"/>
    </row>
    <row r="9" spans="1:14">
      <c r="B9" s="204"/>
      <c r="C9" s="205"/>
      <c r="D9" s="205"/>
      <c r="E9" s="205"/>
      <c r="F9" s="205"/>
      <c r="G9" s="205"/>
      <c r="H9" s="205"/>
      <c r="I9" s="205"/>
      <c r="J9" s="205"/>
      <c r="K9" s="205"/>
      <c r="L9" s="205"/>
      <c r="M9" s="205"/>
      <c r="N9" s="118"/>
    </row>
    <row r="10" spans="1:14">
      <c r="B10" s="204"/>
      <c r="C10" s="205"/>
      <c r="D10" s="205"/>
      <c r="E10" s="205"/>
      <c r="F10" s="205"/>
      <c r="G10" s="205"/>
      <c r="H10" s="205"/>
      <c r="I10" s="205"/>
      <c r="J10" s="205"/>
      <c r="K10" s="205"/>
      <c r="L10" s="205"/>
      <c r="M10" s="205"/>
      <c r="N10" s="118"/>
    </row>
    <row r="11" spans="1:14">
      <c r="B11" s="204"/>
      <c r="C11" s="205"/>
      <c r="D11" s="205"/>
      <c r="E11" s="205"/>
      <c r="F11" s="205"/>
      <c r="G11" s="205"/>
      <c r="H11" s="205"/>
      <c r="I11" s="205"/>
      <c r="J11" s="205"/>
      <c r="K11" s="205"/>
      <c r="L11" s="205"/>
      <c r="M11" s="205"/>
      <c r="N11" s="118"/>
    </row>
    <row r="12" spans="1:14">
      <c r="B12" s="204"/>
      <c r="C12" s="205"/>
      <c r="D12" s="205"/>
      <c r="E12" s="205"/>
      <c r="F12" s="205"/>
      <c r="G12" s="205"/>
      <c r="H12" s="205"/>
      <c r="I12" s="205"/>
      <c r="J12" s="205"/>
      <c r="K12" s="205"/>
      <c r="L12" s="205"/>
      <c r="M12" s="205"/>
      <c r="N12" s="118"/>
    </row>
    <row r="13" spans="1:14">
      <c r="B13" s="204"/>
      <c r="C13" s="205"/>
      <c r="D13" s="205"/>
      <c r="E13" s="205"/>
      <c r="F13" s="205"/>
      <c r="G13" s="205"/>
      <c r="H13" s="205"/>
      <c r="I13" s="205"/>
      <c r="J13" s="205"/>
      <c r="K13" s="205"/>
      <c r="L13" s="205"/>
      <c r="M13" s="205"/>
      <c r="N13" s="118"/>
    </row>
    <row r="14" spans="1:14">
      <c r="B14" s="204"/>
      <c r="C14" s="205"/>
      <c r="D14" s="205"/>
      <c r="E14" s="205"/>
      <c r="F14" s="205"/>
      <c r="G14" s="205"/>
      <c r="H14" s="205"/>
      <c r="I14" s="205"/>
      <c r="J14" s="205"/>
      <c r="K14" s="205"/>
      <c r="L14" s="205"/>
      <c r="M14" s="205"/>
      <c r="N14" s="118"/>
    </row>
    <row r="15" spans="1:14">
      <c r="B15" s="204"/>
      <c r="C15" s="205"/>
      <c r="D15" s="205"/>
      <c r="E15" s="205"/>
      <c r="F15" s="205"/>
      <c r="G15" s="205"/>
      <c r="H15" s="205"/>
      <c r="I15" s="205"/>
      <c r="J15" s="205"/>
      <c r="K15" s="205"/>
      <c r="L15" s="205"/>
      <c r="M15" s="205"/>
      <c r="N15" s="118"/>
    </row>
    <row r="16" spans="1:14">
      <c r="B16" s="204"/>
      <c r="C16" s="205"/>
      <c r="D16" s="205"/>
      <c r="E16" s="205"/>
      <c r="F16" s="205"/>
      <c r="G16" s="205"/>
      <c r="H16" s="205"/>
      <c r="I16" s="205"/>
      <c r="J16" s="205"/>
      <c r="K16" s="205"/>
      <c r="L16" s="205"/>
      <c r="M16" s="205"/>
      <c r="N16" s="118"/>
    </row>
    <row r="17" spans="1:19">
      <c r="B17" s="204"/>
      <c r="C17" s="205"/>
      <c r="D17" s="205"/>
      <c r="E17" s="205"/>
      <c r="F17" s="205"/>
      <c r="G17" s="205"/>
      <c r="H17" s="205"/>
      <c r="I17" s="205"/>
      <c r="J17" s="205"/>
      <c r="K17" s="205"/>
      <c r="L17" s="205"/>
      <c r="M17" s="205"/>
      <c r="N17" s="118"/>
    </row>
    <row r="18" spans="1:19">
      <c r="B18" s="204"/>
      <c r="C18" s="205"/>
      <c r="D18" s="205"/>
      <c r="E18" s="205"/>
      <c r="F18" s="205"/>
      <c r="G18" s="205"/>
      <c r="H18" s="205"/>
      <c r="I18" s="205"/>
      <c r="J18" s="205"/>
      <c r="K18" s="205"/>
      <c r="L18" s="205"/>
      <c r="M18" s="205"/>
      <c r="N18" s="118"/>
    </row>
    <row r="19" spans="1:19">
      <c r="B19" s="204"/>
      <c r="C19" s="205"/>
      <c r="D19" s="205"/>
      <c r="E19" s="205"/>
      <c r="F19" s="205"/>
      <c r="G19" s="205"/>
      <c r="H19" s="205"/>
      <c r="I19" s="205"/>
      <c r="J19" s="205"/>
      <c r="K19" s="205"/>
      <c r="L19" s="205"/>
      <c r="M19" s="205"/>
      <c r="N19" s="118"/>
    </row>
    <row r="20" spans="1:19" ht="18">
      <c r="A20" s="134"/>
      <c r="B20" s="119" t="s">
        <v>18</v>
      </c>
      <c r="C20" s="205"/>
      <c r="D20" s="205"/>
      <c r="E20" s="205"/>
      <c r="F20" s="205"/>
      <c r="G20" s="205"/>
      <c r="H20" s="205"/>
      <c r="I20" s="205"/>
      <c r="J20" s="205"/>
      <c r="K20" s="205"/>
      <c r="L20" s="205"/>
      <c r="M20" s="205"/>
      <c r="N20" s="118"/>
    </row>
    <row r="21" spans="1:19">
      <c r="B21" s="204"/>
      <c r="C21" s="205"/>
      <c r="D21" s="205"/>
      <c r="E21" s="205"/>
      <c r="F21" s="205"/>
      <c r="G21" s="205"/>
      <c r="H21" s="205"/>
      <c r="I21" s="205"/>
      <c r="J21" s="205"/>
      <c r="K21" s="205"/>
      <c r="L21" s="205"/>
      <c r="M21" s="205"/>
      <c r="N21" s="118"/>
    </row>
    <row r="22" spans="1:19">
      <c r="B22" s="204"/>
      <c r="C22" s="124" t="s">
        <v>19</v>
      </c>
      <c r="D22" s="205"/>
      <c r="E22" s="205"/>
      <c r="F22" s="205"/>
      <c r="G22" s="205"/>
      <c r="H22" s="205"/>
      <c r="I22" s="205"/>
      <c r="J22" s="205"/>
      <c r="K22" s="205"/>
      <c r="L22" s="205"/>
      <c r="M22" s="205"/>
      <c r="N22" s="118"/>
    </row>
    <row r="23" spans="1:19">
      <c r="B23" s="204"/>
      <c r="C23" s="206"/>
      <c r="D23" s="207" t="s">
        <v>20</v>
      </c>
      <c r="E23" s="205"/>
      <c r="F23" s="205"/>
      <c r="G23" s="205"/>
      <c r="H23" s="205"/>
      <c r="I23" s="205"/>
      <c r="J23" s="205"/>
      <c r="K23" s="205"/>
      <c r="L23" s="205"/>
      <c r="M23" s="205"/>
      <c r="N23" s="118"/>
    </row>
    <row r="24" spans="1:19">
      <c r="B24" s="204"/>
      <c r="C24" s="208"/>
      <c r="D24" s="207" t="s">
        <v>21</v>
      </c>
      <c r="E24" s="205"/>
      <c r="F24" s="205"/>
      <c r="G24" s="205"/>
      <c r="H24" s="205"/>
      <c r="I24" s="205"/>
      <c r="J24" s="205"/>
      <c r="K24" s="205"/>
      <c r="L24" s="205"/>
      <c r="M24" s="205"/>
      <c r="N24" s="118"/>
    </row>
    <row r="25" spans="1:19" ht="16.5">
      <c r="B25" s="204"/>
      <c r="C25" s="209"/>
      <c r="D25" s="207" t="s">
        <v>22</v>
      </c>
      <c r="E25" s="205"/>
      <c r="F25" s="205"/>
      <c r="G25" s="205"/>
      <c r="H25" s="205"/>
      <c r="I25" s="205"/>
      <c r="J25" s="205"/>
      <c r="K25" s="205"/>
      <c r="L25" s="205"/>
      <c r="M25" s="205"/>
      <c r="N25" s="118"/>
      <c r="S25" s="210"/>
    </row>
    <row r="26" spans="1:19" ht="16.5">
      <c r="B26" s="204"/>
      <c r="C26" s="205"/>
      <c r="D26" s="205"/>
      <c r="E26" s="205"/>
      <c r="F26" s="205"/>
      <c r="G26" s="205"/>
      <c r="H26" s="205"/>
      <c r="I26" s="205"/>
      <c r="J26" s="205"/>
      <c r="K26" s="205"/>
      <c r="L26" s="205"/>
      <c r="M26" s="205"/>
      <c r="N26" s="118"/>
      <c r="S26" s="211"/>
    </row>
    <row r="27" spans="1:19" ht="16.5">
      <c r="A27" s="134"/>
      <c r="B27" s="241" t="s">
        <v>23</v>
      </c>
      <c r="C27" s="242"/>
      <c r="D27" s="242"/>
      <c r="E27" s="242"/>
      <c r="F27" s="242"/>
      <c r="G27" s="242"/>
      <c r="H27" s="242"/>
      <c r="I27" s="242"/>
      <c r="J27" s="242"/>
      <c r="K27" s="242"/>
      <c r="L27" s="242"/>
      <c r="M27" s="242"/>
      <c r="N27" s="118"/>
      <c r="S27" s="210"/>
    </row>
    <row r="28" spans="1:19" ht="9.75" customHeight="1">
      <c r="B28" s="204"/>
      <c r="C28" s="205"/>
      <c r="D28" s="205"/>
      <c r="E28" s="205"/>
      <c r="F28" s="205"/>
      <c r="G28" s="205"/>
      <c r="H28" s="205"/>
      <c r="I28" s="205"/>
      <c r="J28" s="205"/>
      <c r="K28" s="205"/>
      <c r="L28" s="205"/>
      <c r="M28" s="205"/>
      <c r="N28" s="118"/>
      <c r="S28" s="210"/>
    </row>
    <row r="29" spans="1:19">
      <c r="B29" s="204"/>
      <c r="C29" s="205"/>
      <c r="D29" s="205"/>
      <c r="E29" s="205"/>
      <c r="F29" s="205"/>
      <c r="G29" s="205"/>
      <c r="H29" s="205"/>
      <c r="I29" s="205"/>
      <c r="J29" s="205"/>
      <c r="K29" s="205"/>
      <c r="L29" s="205"/>
      <c r="M29" s="205"/>
      <c r="N29" s="118"/>
    </row>
    <row r="30" spans="1:19">
      <c r="B30" s="204"/>
      <c r="C30" s="205"/>
      <c r="D30" s="205"/>
      <c r="E30" s="205"/>
      <c r="F30" s="205"/>
      <c r="G30" s="205"/>
      <c r="H30" s="205"/>
      <c r="I30" s="205"/>
      <c r="J30" s="205"/>
      <c r="K30" s="205"/>
      <c r="L30" s="205"/>
      <c r="M30" s="205"/>
      <c r="N30" s="118"/>
    </row>
    <row r="31" spans="1:19">
      <c r="B31" s="204"/>
      <c r="C31" s="205"/>
      <c r="D31" s="205"/>
      <c r="E31" s="205"/>
      <c r="F31" s="205"/>
      <c r="G31" s="205"/>
      <c r="H31" s="205"/>
      <c r="I31" s="205"/>
      <c r="J31" s="205"/>
      <c r="K31" s="205"/>
      <c r="L31" s="205"/>
      <c r="M31" s="205"/>
      <c r="N31" s="118"/>
    </row>
    <row r="32" spans="1:19">
      <c r="B32" s="204"/>
      <c r="C32" s="205"/>
      <c r="D32" s="205"/>
      <c r="E32" s="205"/>
      <c r="F32" s="205"/>
      <c r="G32" s="205"/>
      <c r="H32" s="205"/>
      <c r="I32" s="205"/>
      <c r="J32" s="205"/>
      <c r="K32" s="205"/>
      <c r="L32" s="205"/>
      <c r="M32" s="205"/>
      <c r="N32" s="118"/>
    </row>
    <row r="33" spans="1:14">
      <c r="B33" s="204"/>
      <c r="C33" s="205"/>
      <c r="D33" s="205"/>
      <c r="E33" s="205"/>
      <c r="F33" s="205"/>
      <c r="G33" s="205"/>
      <c r="H33" s="205"/>
      <c r="I33" s="205"/>
      <c r="J33" s="205"/>
      <c r="K33" s="205"/>
      <c r="L33" s="205"/>
      <c r="M33" s="205"/>
      <c r="N33" s="118"/>
    </row>
    <row r="34" spans="1:14">
      <c r="B34" s="204"/>
      <c r="C34" s="205"/>
      <c r="D34" s="205"/>
      <c r="E34" s="205"/>
      <c r="F34" s="205"/>
      <c r="G34" s="205"/>
      <c r="H34" s="205"/>
      <c r="I34" s="205"/>
      <c r="J34" s="205"/>
      <c r="K34" s="205"/>
      <c r="L34" s="205"/>
      <c r="M34" s="205"/>
      <c r="N34" s="118"/>
    </row>
    <row r="35" spans="1:14">
      <c r="B35" s="204"/>
      <c r="C35" s="205"/>
      <c r="D35" s="205"/>
      <c r="E35" s="205"/>
      <c r="F35" s="205"/>
      <c r="G35" s="205"/>
      <c r="H35" s="205"/>
      <c r="I35" s="205"/>
      <c r="J35" s="205"/>
      <c r="K35" s="205"/>
      <c r="L35" s="205"/>
      <c r="M35" s="205"/>
      <c r="N35" s="118"/>
    </row>
    <row r="36" spans="1:14" ht="42.75" customHeight="1">
      <c r="B36" s="204"/>
      <c r="C36" s="205"/>
      <c r="D36" s="205"/>
      <c r="E36" s="205"/>
      <c r="F36" s="205"/>
      <c r="G36" s="205"/>
      <c r="H36" s="205"/>
      <c r="I36" s="205"/>
      <c r="J36" s="205"/>
      <c r="K36" s="205"/>
      <c r="L36" s="205"/>
      <c r="M36" s="205"/>
      <c r="N36" s="118"/>
    </row>
    <row r="37" spans="1:14" ht="31.5" customHeight="1">
      <c r="A37" s="134"/>
      <c r="B37" s="243" t="s">
        <v>24</v>
      </c>
      <c r="C37" s="243"/>
      <c r="D37" s="243"/>
      <c r="E37" s="243"/>
      <c r="F37" s="243"/>
      <c r="G37" s="243"/>
      <c r="H37" s="243"/>
      <c r="I37" s="243"/>
      <c r="J37" s="243"/>
      <c r="K37" s="243"/>
      <c r="L37" s="243"/>
      <c r="M37" s="243"/>
      <c r="N37" s="118"/>
    </row>
    <row r="38" spans="1:14">
      <c r="B38" s="204"/>
      <c r="C38" s="205"/>
      <c r="D38" s="205"/>
      <c r="E38" s="205"/>
      <c r="F38" s="205"/>
      <c r="G38" s="205"/>
      <c r="H38" s="205"/>
      <c r="I38" s="205"/>
      <c r="J38" s="205"/>
      <c r="K38" s="205"/>
      <c r="L38" s="205"/>
      <c r="M38" s="205"/>
      <c r="N38" s="118"/>
    </row>
    <row r="39" spans="1:14">
      <c r="B39" s="122" t="s">
        <v>25</v>
      </c>
      <c r="C39" s="212"/>
      <c r="D39" s="212"/>
      <c r="E39" s="212"/>
      <c r="F39" s="212"/>
      <c r="G39" s="212"/>
      <c r="H39" s="212"/>
      <c r="I39" s="212"/>
      <c r="J39" s="212"/>
      <c r="K39" s="212"/>
      <c r="L39" s="212"/>
      <c r="M39" s="212"/>
      <c r="N39" s="118"/>
    </row>
    <row r="40" spans="1:14" ht="72" customHeight="1">
      <c r="A40" s="134"/>
      <c r="B40" s="243" t="s">
        <v>26</v>
      </c>
      <c r="C40" s="243"/>
      <c r="D40" s="243"/>
      <c r="E40" s="243"/>
      <c r="F40" s="243"/>
      <c r="G40" s="243"/>
      <c r="H40" s="243"/>
      <c r="I40" s="243"/>
      <c r="J40" s="243"/>
      <c r="K40" s="243"/>
      <c r="L40" s="243"/>
      <c r="M40" s="243"/>
      <c r="N40" s="118"/>
    </row>
    <row r="41" spans="1:14" ht="12.75" customHeight="1">
      <c r="A41" s="134"/>
      <c r="B41" s="212"/>
      <c r="C41" s="212"/>
      <c r="D41" s="212"/>
      <c r="E41" s="212"/>
      <c r="F41" s="212"/>
      <c r="G41" s="212"/>
      <c r="H41" s="212"/>
      <c r="I41" s="212"/>
      <c r="J41" s="212"/>
      <c r="K41" s="212"/>
      <c r="L41" s="212"/>
      <c r="M41" s="212"/>
      <c r="N41" s="118"/>
    </row>
    <row r="42" spans="1:14" ht="18">
      <c r="A42" s="134"/>
      <c r="B42" s="123" t="s">
        <v>27</v>
      </c>
      <c r="C42" s="212"/>
      <c r="D42" s="212"/>
      <c r="E42" s="212"/>
      <c r="F42" s="212"/>
      <c r="G42" s="212"/>
      <c r="H42" s="212"/>
      <c r="I42" s="212"/>
      <c r="J42" s="212"/>
      <c r="K42" s="212"/>
      <c r="L42" s="212"/>
      <c r="M42" s="212"/>
      <c r="N42" s="118"/>
    </row>
    <row r="43" spans="1:14">
      <c r="A43" s="134"/>
      <c r="B43" s="212"/>
      <c r="C43" s="212"/>
      <c r="D43" s="212"/>
      <c r="E43" s="212"/>
      <c r="F43" s="212"/>
      <c r="G43" s="212"/>
      <c r="H43" s="212"/>
      <c r="I43" s="212"/>
      <c r="J43" s="212"/>
      <c r="K43" s="212"/>
      <c r="L43" s="212"/>
      <c r="M43" s="212"/>
      <c r="N43" s="118"/>
    </row>
    <row r="44" spans="1:14">
      <c r="A44" s="134"/>
      <c r="B44" s="239" t="s">
        <v>28</v>
      </c>
      <c r="C44" s="240"/>
      <c r="D44" s="240"/>
      <c r="E44" s="240"/>
      <c r="F44" s="240"/>
      <c r="G44" s="240"/>
      <c r="H44" s="240"/>
      <c r="I44" s="240"/>
      <c r="J44" s="240"/>
      <c r="K44" s="240"/>
      <c r="L44" s="240"/>
      <c r="M44" s="240"/>
      <c r="N44" s="118"/>
    </row>
    <row r="45" spans="1:14" ht="9" customHeight="1">
      <c r="A45" s="134"/>
      <c r="B45" s="212"/>
      <c r="C45" s="212"/>
      <c r="D45" s="212"/>
      <c r="E45" s="212"/>
      <c r="F45" s="212"/>
      <c r="G45" s="212"/>
      <c r="H45" s="212"/>
      <c r="I45" s="212"/>
      <c r="J45" s="212"/>
      <c r="K45" s="212"/>
      <c r="L45" s="212"/>
      <c r="M45" s="212"/>
      <c r="N45" s="118"/>
    </row>
    <row r="46" spans="1:14">
      <c r="A46" s="134"/>
      <c r="B46" s="246" t="s">
        <v>29</v>
      </c>
      <c r="C46" s="247"/>
      <c r="D46" s="247"/>
      <c r="E46" s="247"/>
      <c r="F46" s="247"/>
      <c r="G46" s="247"/>
      <c r="H46" s="247"/>
      <c r="I46" s="247"/>
      <c r="J46" s="247"/>
      <c r="K46" s="247"/>
      <c r="L46" s="247"/>
      <c r="M46" s="247"/>
      <c r="N46" s="118"/>
    </row>
    <row r="47" spans="1:14" ht="45" customHeight="1">
      <c r="A47" s="134"/>
      <c r="B47" s="248" t="s">
        <v>30</v>
      </c>
      <c r="C47" s="248"/>
      <c r="D47" s="248"/>
      <c r="E47" s="248"/>
      <c r="F47" s="248"/>
      <c r="G47" s="248"/>
      <c r="H47" s="248"/>
      <c r="I47" s="248"/>
      <c r="J47" s="248"/>
      <c r="K47" s="248"/>
      <c r="L47" s="248"/>
      <c r="M47" s="248"/>
      <c r="N47" s="118"/>
    </row>
    <row r="48" spans="1:14" ht="43.5" customHeight="1">
      <c r="A48" s="134"/>
      <c r="B48" s="248" t="s">
        <v>31</v>
      </c>
      <c r="C48" s="248"/>
      <c r="D48" s="248"/>
      <c r="E48" s="248"/>
      <c r="F48" s="248"/>
      <c r="G48" s="248"/>
      <c r="H48" s="248"/>
      <c r="I48" s="248"/>
      <c r="J48" s="248"/>
      <c r="K48" s="248"/>
      <c r="L48" s="248"/>
      <c r="M48" s="248"/>
      <c r="N48" s="118"/>
    </row>
    <row r="49" spans="1:14" ht="15.75" customHeight="1">
      <c r="A49" s="134"/>
      <c r="B49" s="248" t="s">
        <v>32</v>
      </c>
      <c r="C49" s="248"/>
      <c r="D49" s="248"/>
      <c r="E49" s="248"/>
      <c r="F49" s="248"/>
      <c r="G49" s="248"/>
      <c r="H49" s="248"/>
      <c r="I49" s="248"/>
      <c r="J49" s="248"/>
      <c r="K49" s="248"/>
      <c r="L49" s="248"/>
      <c r="M49" s="248"/>
      <c r="N49" s="118"/>
    </row>
    <row r="50" spans="1:14" ht="90" customHeight="1">
      <c r="A50" s="134"/>
      <c r="B50" s="248" t="s">
        <v>33</v>
      </c>
      <c r="C50" s="248"/>
      <c r="D50" s="248"/>
      <c r="E50" s="248"/>
      <c r="F50" s="248"/>
      <c r="G50" s="248"/>
      <c r="H50" s="248"/>
      <c r="I50" s="248"/>
      <c r="J50" s="248"/>
      <c r="K50" s="248"/>
      <c r="L50" s="248"/>
      <c r="M50" s="248"/>
      <c r="N50" s="118"/>
    </row>
    <row r="51" spans="1:14" ht="33.75" customHeight="1">
      <c r="B51" s="244" t="s">
        <v>34</v>
      </c>
      <c r="C51" s="245"/>
      <c r="D51" s="245"/>
      <c r="E51" s="245"/>
      <c r="F51" s="245"/>
      <c r="G51" s="245"/>
      <c r="H51" s="245"/>
      <c r="I51" s="245"/>
      <c r="J51" s="245"/>
      <c r="K51" s="245"/>
      <c r="L51" s="245"/>
      <c r="M51" s="245"/>
      <c r="N51" s="118"/>
    </row>
    <row r="52" spans="1:14" ht="46.5" customHeight="1">
      <c r="B52" s="249" t="s">
        <v>35</v>
      </c>
      <c r="C52" s="250"/>
      <c r="D52" s="250"/>
      <c r="E52" s="250"/>
      <c r="F52" s="250"/>
      <c r="G52" s="250"/>
      <c r="H52" s="250"/>
      <c r="I52" s="250"/>
      <c r="J52" s="250"/>
      <c r="K52" s="250"/>
      <c r="L52" s="250"/>
      <c r="M52" s="250"/>
      <c r="N52" s="118"/>
    </row>
    <row r="53" spans="1:14" ht="61.5" customHeight="1">
      <c r="B53" s="249" t="s">
        <v>36</v>
      </c>
      <c r="C53" s="250"/>
      <c r="D53" s="250"/>
      <c r="E53" s="250"/>
      <c r="F53" s="250"/>
      <c r="G53" s="250"/>
      <c r="H53" s="250"/>
      <c r="I53" s="250"/>
      <c r="J53" s="250"/>
      <c r="K53" s="250"/>
      <c r="L53" s="250"/>
      <c r="M53" s="250"/>
      <c r="N53" s="118"/>
    </row>
    <row r="54" spans="1:14">
      <c r="B54" s="246" t="s">
        <v>37</v>
      </c>
      <c r="C54" s="247"/>
      <c r="D54" s="247"/>
      <c r="E54" s="247"/>
      <c r="F54" s="247"/>
      <c r="G54" s="247"/>
      <c r="H54" s="247"/>
      <c r="I54" s="247"/>
      <c r="J54" s="247"/>
      <c r="K54" s="247"/>
      <c r="L54" s="247"/>
      <c r="M54" s="247"/>
      <c r="N54" s="118"/>
    </row>
    <row r="55" spans="1:14">
      <c r="B55" s="200"/>
      <c r="C55" s="212"/>
      <c r="D55" s="212"/>
      <c r="E55" s="212"/>
      <c r="F55" s="212"/>
      <c r="G55" s="212"/>
      <c r="H55" s="212"/>
      <c r="I55" s="212"/>
      <c r="J55" s="212"/>
      <c r="K55" s="212"/>
      <c r="L55" s="212"/>
      <c r="M55" s="212"/>
      <c r="N55" s="118"/>
    </row>
    <row r="56" spans="1:14" ht="33" customHeight="1">
      <c r="B56" s="244" t="s">
        <v>38</v>
      </c>
      <c r="C56" s="245"/>
      <c r="D56" s="245"/>
      <c r="E56" s="245"/>
      <c r="F56" s="245"/>
      <c r="G56" s="245"/>
      <c r="H56" s="245"/>
      <c r="I56" s="245"/>
      <c r="J56" s="245"/>
      <c r="K56" s="245"/>
      <c r="L56" s="245"/>
      <c r="M56" s="245"/>
      <c r="N56" s="118"/>
    </row>
    <row r="57" spans="1:14">
      <c r="B57" s="200" t="s">
        <v>39</v>
      </c>
      <c r="C57" s="212"/>
      <c r="D57" s="212"/>
      <c r="E57" s="212"/>
      <c r="F57" s="212"/>
      <c r="G57" s="212"/>
      <c r="H57" s="212"/>
      <c r="I57" s="212"/>
      <c r="J57" s="212"/>
      <c r="K57" s="212"/>
      <c r="L57" s="212"/>
      <c r="M57" s="212"/>
      <c r="N57" s="118"/>
    </row>
    <row r="58" spans="1:14" ht="47.25" customHeight="1">
      <c r="B58" s="249" t="s">
        <v>40</v>
      </c>
      <c r="C58" s="250"/>
      <c r="D58" s="250"/>
      <c r="E58" s="250"/>
      <c r="F58" s="250"/>
      <c r="G58" s="250"/>
      <c r="H58" s="250"/>
      <c r="I58" s="250"/>
      <c r="J58" s="250"/>
      <c r="K58" s="250"/>
      <c r="L58" s="250"/>
      <c r="M58" s="250"/>
      <c r="N58" s="118"/>
    </row>
    <row r="59" spans="1:14">
      <c r="B59" s="200" t="s">
        <v>41</v>
      </c>
      <c r="C59" s="212"/>
      <c r="D59" s="212"/>
      <c r="E59" s="212"/>
      <c r="F59" s="212"/>
      <c r="G59" s="212"/>
      <c r="H59" s="212"/>
      <c r="I59" s="212"/>
      <c r="J59" s="212"/>
      <c r="K59" s="212"/>
      <c r="L59" s="212"/>
      <c r="M59" s="212"/>
      <c r="N59" s="118"/>
    </row>
    <row r="60" spans="1:14">
      <c r="B60" s="200"/>
      <c r="C60" s="212"/>
      <c r="D60" s="212"/>
      <c r="E60" s="212"/>
      <c r="F60" s="212"/>
      <c r="G60" s="212"/>
      <c r="H60" s="212"/>
      <c r="I60" s="212"/>
      <c r="J60" s="212"/>
      <c r="K60" s="212"/>
      <c r="L60" s="212"/>
      <c r="M60" s="212"/>
      <c r="N60" s="118"/>
    </row>
    <row r="61" spans="1:14" ht="33" customHeight="1">
      <c r="B61" s="244" t="s">
        <v>42</v>
      </c>
      <c r="C61" s="245"/>
      <c r="D61" s="245"/>
      <c r="E61" s="245"/>
      <c r="F61" s="245"/>
      <c r="G61" s="245"/>
      <c r="H61" s="245"/>
      <c r="I61" s="245"/>
      <c r="J61" s="245"/>
      <c r="K61" s="245"/>
      <c r="L61" s="245"/>
      <c r="M61" s="245"/>
      <c r="N61" s="118"/>
    </row>
    <row r="62" spans="1:14">
      <c r="B62" s="246" t="s">
        <v>43</v>
      </c>
      <c r="C62" s="247"/>
      <c r="D62" s="247"/>
      <c r="E62" s="247"/>
      <c r="F62" s="247"/>
      <c r="G62" s="247"/>
      <c r="H62" s="247"/>
      <c r="I62" s="247"/>
      <c r="J62" s="247"/>
      <c r="K62" s="247"/>
      <c r="L62" s="247"/>
      <c r="M62" s="247"/>
      <c r="N62" s="118"/>
    </row>
    <row r="63" spans="1:14">
      <c r="B63" s="246" t="s">
        <v>44</v>
      </c>
      <c r="C63" s="247"/>
      <c r="D63" s="247"/>
      <c r="E63" s="247"/>
      <c r="F63" s="247"/>
      <c r="G63" s="247"/>
      <c r="H63" s="247"/>
      <c r="I63" s="247"/>
      <c r="J63" s="247"/>
      <c r="K63" s="247"/>
      <c r="L63" s="247"/>
      <c r="M63" s="247"/>
      <c r="N63" s="118"/>
    </row>
    <row r="64" spans="1:14" ht="32.25" customHeight="1">
      <c r="B64" s="249" t="s">
        <v>45</v>
      </c>
      <c r="C64" s="250"/>
      <c r="D64" s="250"/>
      <c r="E64" s="250"/>
      <c r="F64" s="250"/>
      <c r="G64" s="250"/>
      <c r="H64" s="250"/>
      <c r="I64" s="250"/>
      <c r="J64" s="250"/>
      <c r="K64" s="250"/>
      <c r="L64" s="250"/>
      <c r="M64" s="250"/>
      <c r="N64" s="118"/>
    </row>
    <row r="65" spans="2:14" ht="16.5" customHeight="1">
      <c r="B65" s="199"/>
      <c r="C65" s="213"/>
      <c r="D65" s="213"/>
      <c r="E65" s="213"/>
      <c r="F65" s="213"/>
      <c r="G65" s="213"/>
      <c r="H65" s="213"/>
      <c r="I65" s="213"/>
      <c r="J65" s="213"/>
      <c r="K65" s="213"/>
      <c r="L65" s="213"/>
      <c r="M65" s="213"/>
      <c r="N65" s="118"/>
    </row>
    <row r="66" spans="2:14">
      <c r="B66" s="244" t="s">
        <v>46</v>
      </c>
      <c r="C66" s="245"/>
      <c r="D66" s="245"/>
      <c r="E66" s="245"/>
      <c r="F66" s="245"/>
      <c r="G66" s="245"/>
      <c r="H66" s="245"/>
      <c r="I66" s="245"/>
      <c r="J66" s="245"/>
      <c r="K66" s="245"/>
      <c r="L66" s="245"/>
      <c r="M66" s="245"/>
      <c r="N66" s="118"/>
    </row>
    <row r="67" spans="2:14" ht="32.25" customHeight="1">
      <c r="B67" s="199"/>
      <c r="C67" s="213"/>
      <c r="D67" s="213"/>
      <c r="E67" s="213"/>
      <c r="F67" s="213"/>
      <c r="G67" s="213"/>
      <c r="H67" s="213"/>
      <c r="I67" s="213"/>
      <c r="J67" s="213"/>
      <c r="K67" s="213"/>
      <c r="L67" s="213"/>
      <c r="M67" s="213"/>
      <c r="N67" s="118"/>
    </row>
    <row r="68" spans="2:14" ht="32.25" customHeight="1">
      <c r="B68" s="199"/>
      <c r="C68" s="213"/>
      <c r="D68" s="213"/>
      <c r="E68" s="213"/>
      <c r="F68" s="213"/>
      <c r="G68" s="213"/>
      <c r="H68" s="213"/>
      <c r="I68" s="213"/>
      <c r="J68" s="213"/>
      <c r="K68" s="213"/>
      <c r="L68" s="213"/>
      <c r="M68" s="213"/>
      <c r="N68" s="118"/>
    </row>
    <row r="69" spans="2:14" ht="32.25" customHeight="1">
      <c r="B69" s="199"/>
      <c r="C69" s="213"/>
      <c r="D69" s="213"/>
      <c r="E69" s="213"/>
      <c r="F69" s="213"/>
      <c r="G69" s="213"/>
      <c r="H69" s="213"/>
      <c r="I69" s="213"/>
      <c r="J69" s="213"/>
      <c r="K69" s="213"/>
      <c r="L69" s="213"/>
      <c r="M69" s="213"/>
      <c r="N69" s="118"/>
    </row>
    <row r="70" spans="2:14" ht="32.25" customHeight="1">
      <c r="B70" s="199"/>
      <c r="C70" s="213"/>
      <c r="D70" s="213"/>
      <c r="E70" s="213"/>
      <c r="F70" s="213"/>
      <c r="G70" s="213"/>
      <c r="H70" s="213"/>
      <c r="I70" s="213"/>
      <c r="J70" s="213"/>
      <c r="K70" s="213"/>
      <c r="L70" s="213"/>
      <c r="M70" s="213"/>
      <c r="N70" s="118"/>
    </row>
    <row r="71" spans="2:14" ht="32.25" customHeight="1">
      <c r="B71" s="199"/>
      <c r="C71" s="213"/>
      <c r="D71" s="213"/>
      <c r="E71" s="213"/>
      <c r="F71" s="213"/>
      <c r="G71" s="213"/>
      <c r="H71" s="213"/>
      <c r="I71" s="213"/>
      <c r="J71" s="213"/>
      <c r="K71" s="213"/>
      <c r="L71" s="213"/>
      <c r="M71" s="213"/>
      <c r="N71" s="118"/>
    </row>
    <row r="72" spans="2:14" ht="18">
      <c r="B72" s="251" t="s">
        <v>47</v>
      </c>
      <c r="C72" s="252"/>
      <c r="D72" s="252"/>
      <c r="E72" s="252"/>
      <c r="F72" s="252"/>
      <c r="G72" s="252"/>
      <c r="H72" s="252"/>
      <c r="I72" s="252"/>
      <c r="J72" s="252"/>
      <c r="K72" s="252"/>
      <c r="L72" s="252"/>
      <c r="M72" s="252"/>
      <c r="N72" s="118"/>
    </row>
    <row r="73" spans="2:14">
      <c r="B73" s="200"/>
      <c r="C73" s="212"/>
      <c r="D73" s="212"/>
      <c r="E73" s="212"/>
      <c r="F73" s="212"/>
      <c r="G73" s="212"/>
      <c r="H73" s="212"/>
      <c r="I73" s="212"/>
      <c r="J73" s="212"/>
      <c r="K73" s="212"/>
      <c r="L73" s="212"/>
      <c r="M73" s="212"/>
      <c r="N73" s="118"/>
    </row>
    <row r="74" spans="2:14">
      <c r="B74" s="244" t="s">
        <v>48</v>
      </c>
      <c r="C74" s="245"/>
      <c r="D74" s="245"/>
      <c r="E74" s="245"/>
      <c r="F74" s="245"/>
      <c r="G74" s="245"/>
      <c r="H74" s="245"/>
      <c r="I74" s="245"/>
      <c r="J74" s="245"/>
      <c r="K74" s="245"/>
      <c r="L74" s="245"/>
      <c r="M74" s="245"/>
      <c r="N74" s="253"/>
    </row>
    <row r="75" spans="2:14">
      <c r="B75" s="200" t="s">
        <v>49</v>
      </c>
      <c r="C75" s="212"/>
      <c r="D75" s="254" t="s">
        <v>50</v>
      </c>
      <c r="E75" s="254"/>
      <c r="F75" s="254"/>
      <c r="G75" s="254"/>
      <c r="H75" s="254"/>
      <c r="I75" s="254"/>
      <c r="J75" s="212"/>
      <c r="K75" s="212"/>
      <c r="L75" s="212"/>
      <c r="M75" s="212"/>
      <c r="N75" s="118"/>
    </row>
    <row r="76" spans="2:14" ht="27.75" customHeight="1">
      <c r="B76" s="249" t="s">
        <v>51</v>
      </c>
      <c r="C76" s="250"/>
      <c r="D76" s="250"/>
      <c r="E76" s="250"/>
      <c r="F76" s="250"/>
      <c r="G76" s="250"/>
      <c r="H76" s="250"/>
      <c r="I76" s="250"/>
      <c r="J76" s="250"/>
      <c r="K76" s="250"/>
      <c r="L76" s="250"/>
      <c r="M76" s="250"/>
      <c r="N76" s="118"/>
    </row>
    <row r="77" spans="2:14" ht="29.25" customHeight="1">
      <c r="B77" s="249" t="s">
        <v>52</v>
      </c>
      <c r="C77" s="250"/>
      <c r="D77" s="250"/>
      <c r="E77" s="250"/>
      <c r="F77" s="250"/>
      <c r="G77" s="250"/>
      <c r="H77" s="250"/>
      <c r="I77" s="250"/>
      <c r="J77" s="250"/>
      <c r="K77" s="250"/>
      <c r="L77" s="250"/>
      <c r="M77" s="250"/>
      <c r="N77" s="118"/>
    </row>
    <row r="78" spans="2:14">
      <c r="B78" s="200" t="s">
        <v>53</v>
      </c>
      <c r="C78" s="212"/>
      <c r="D78" s="212"/>
      <c r="E78" s="212"/>
      <c r="F78" s="212"/>
      <c r="G78" s="212"/>
      <c r="H78" s="212"/>
      <c r="I78" s="212"/>
      <c r="J78" s="212"/>
      <c r="K78" s="212"/>
      <c r="L78" s="212"/>
      <c r="M78" s="212"/>
      <c r="N78" s="118"/>
    </row>
    <row r="79" spans="2:14">
      <c r="B79" s="200"/>
      <c r="C79" s="212"/>
      <c r="D79" s="212"/>
      <c r="E79" s="212"/>
      <c r="F79" s="212"/>
      <c r="G79" s="212"/>
      <c r="H79" s="212"/>
      <c r="I79" s="212"/>
      <c r="J79" s="212"/>
      <c r="K79" s="212"/>
      <c r="L79" s="212"/>
      <c r="M79" s="212"/>
      <c r="N79" s="118"/>
    </row>
    <row r="80" spans="2:14">
      <c r="B80" s="244" t="s">
        <v>54</v>
      </c>
      <c r="C80" s="245"/>
      <c r="D80" s="245"/>
      <c r="E80" s="245"/>
      <c r="F80" s="245"/>
      <c r="G80" s="245"/>
      <c r="H80" s="245"/>
      <c r="I80" s="245"/>
      <c r="J80" s="245"/>
      <c r="K80" s="245"/>
      <c r="L80" s="245"/>
      <c r="M80" s="245"/>
      <c r="N80" s="253"/>
    </row>
    <row r="81" spans="2:14">
      <c r="B81" s="200" t="s">
        <v>55</v>
      </c>
      <c r="C81" s="212"/>
      <c r="D81" s="255" t="s">
        <v>56</v>
      </c>
      <c r="E81" s="255"/>
      <c r="F81" s="255"/>
      <c r="G81" s="255"/>
      <c r="H81" s="255"/>
      <c r="I81" s="212"/>
      <c r="J81" s="212"/>
      <c r="K81" s="212"/>
      <c r="L81" s="212"/>
      <c r="M81" s="212"/>
      <c r="N81" s="118"/>
    </row>
    <row r="82" spans="2:14" ht="58.5" customHeight="1">
      <c r="B82" s="249" t="s">
        <v>57</v>
      </c>
      <c r="C82" s="250"/>
      <c r="D82" s="250"/>
      <c r="E82" s="250"/>
      <c r="F82" s="250"/>
      <c r="G82" s="250"/>
      <c r="H82" s="250"/>
      <c r="I82" s="250"/>
      <c r="J82" s="250"/>
      <c r="K82" s="250"/>
      <c r="L82" s="250"/>
      <c r="M82" s="250"/>
      <c r="N82" s="118"/>
    </row>
    <row r="83" spans="2:14">
      <c r="B83" s="200" t="s">
        <v>58</v>
      </c>
      <c r="C83" s="212"/>
      <c r="D83" s="212"/>
      <c r="E83" s="212"/>
      <c r="F83" s="212"/>
      <c r="G83" s="212"/>
      <c r="H83" s="212"/>
      <c r="I83" s="212"/>
      <c r="J83" s="212"/>
      <c r="K83" s="212"/>
      <c r="L83" s="212"/>
      <c r="M83" s="212"/>
      <c r="N83" s="118"/>
    </row>
    <row r="84" spans="2:14">
      <c r="B84" s="200" t="s">
        <v>59</v>
      </c>
      <c r="C84" s="212"/>
      <c r="D84" s="212"/>
      <c r="E84" s="212"/>
      <c r="F84" s="212"/>
      <c r="G84" s="212"/>
      <c r="H84" s="212"/>
      <c r="I84" s="212"/>
      <c r="J84" s="212"/>
      <c r="K84" s="212"/>
      <c r="L84" s="212"/>
      <c r="M84" s="212"/>
      <c r="N84" s="118"/>
    </row>
    <row r="85" spans="2:14">
      <c r="B85" s="200"/>
      <c r="C85" s="212"/>
      <c r="D85" s="212"/>
      <c r="E85" s="212"/>
      <c r="F85" s="212"/>
      <c r="G85" s="212"/>
      <c r="H85" s="212"/>
      <c r="I85" s="212"/>
      <c r="J85" s="212"/>
      <c r="K85" s="212"/>
      <c r="L85" s="212"/>
      <c r="M85" s="212"/>
      <c r="N85" s="118"/>
    </row>
    <row r="86" spans="2:14" ht="31.5" customHeight="1">
      <c r="B86" s="244" t="s">
        <v>60</v>
      </c>
      <c r="C86" s="245"/>
      <c r="D86" s="245"/>
      <c r="E86" s="245"/>
      <c r="F86" s="245"/>
      <c r="G86" s="245"/>
      <c r="H86" s="245"/>
      <c r="I86" s="245"/>
      <c r="J86" s="245"/>
      <c r="K86" s="245"/>
      <c r="L86" s="245"/>
      <c r="M86" s="245"/>
      <c r="N86" s="118"/>
    </row>
    <row r="87" spans="2:14">
      <c r="B87" s="200" t="s">
        <v>49</v>
      </c>
      <c r="C87" s="212"/>
      <c r="D87" s="254" t="s">
        <v>61</v>
      </c>
      <c r="E87" s="254"/>
      <c r="F87" s="254"/>
      <c r="G87" s="254"/>
      <c r="H87" s="254"/>
      <c r="I87" s="212"/>
      <c r="J87" s="212"/>
      <c r="K87" s="212"/>
      <c r="L87" s="212"/>
      <c r="M87" s="212"/>
      <c r="N87" s="118"/>
    </row>
    <row r="88" spans="2:14">
      <c r="B88" s="200" t="s">
        <v>62</v>
      </c>
      <c r="C88" s="212"/>
      <c r="D88" s="212"/>
      <c r="E88" s="212"/>
      <c r="F88" s="212"/>
      <c r="G88" s="212"/>
      <c r="H88" s="212"/>
      <c r="I88" s="212"/>
      <c r="J88" s="212"/>
      <c r="K88" s="212"/>
      <c r="L88" s="212"/>
      <c r="M88" s="212"/>
      <c r="N88" s="118"/>
    </row>
    <row r="89" spans="2:14" ht="28.5" customHeight="1">
      <c r="B89" s="249" t="s">
        <v>63</v>
      </c>
      <c r="C89" s="250"/>
      <c r="D89" s="250"/>
      <c r="E89" s="250"/>
      <c r="F89" s="250"/>
      <c r="G89" s="250"/>
      <c r="H89" s="250"/>
      <c r="I89" s="250"/>
      <c r="J89" s="250"/>
      <c r="K89" s="250"/>
      <c r="L89" s="250"/>
      <c r="M89" s="250"/>
      <c r="N89" s="118"/>
    </row>
    <row r="90" spans="2:14" ht="30" customHeight="1">
      <c r="B90" s="249" t="s">
        <v>64</v>
      </c>
      <c r="C90" s="250"/>
      <c r="D90" s="250"/>
      <c r="E90" s="250"/>
      <c r="F90" s="250"/>
      <c r="G90" s="250"/>
      <c r="H90" s="250"/>
      <c r="I90" s="250"/>
      <c r="J90" s="250"/>
      <c r="K90" s="250"/>
      <c r="L90" s="250"/>
      <c r="M90" s="250"/>
      <c r="N90" s="118"/>
    </row>
    <row r="91" spans="2:14" ht="33.75" customHeight="1">
      <c r="B91" s="249" t="s">
        <v>65</v>
      </c>
      <c r="C91" s="250"/>
      <c r="D91" s="250"/>
      <c r="E91" s="250"/>
      <c r="F91" s="250"/>
      <c r="G91" s="250"/>
      <c r="H91" s="250"/>
      <c r="I91" s="250"/>
      <c r="J91" s="250"/>
      <c r="K91" s="250"/>
      <c r="L91" s="250"/>
      <c r="M91" s="250"/>
      <c r="N91" s="118"/>
    </row>
    <row r="92" spans="2:14">
      <c r="B92" s="200"/>
      <c r="C92" s="212"/>
      <c r="D92" s="212"/>
      <c r="E92" s="212"/>
      <c r="F92" s="212"/>
      <c r="G92" s="212"/>
      <c r="H92" s="212"/>
      <c r="I92" s="212"/>
      <c r="J92" s="212"/>
      <c r="K92" s="212"/>
      <c r="L92" s="212"/>
      <c r="M92" s="212"/>
      <c r="N92" s="118"/>
    </row>
    <row r="93" spans="2:14">
      <c r="B93" s="244" t="s">
        <v>66</v>
      </c>
      <c r="C93" s="245"/>
      <c r="D93" s="245"/>
      <c r="E93" s="245"/>
      <c r="F93" s="245"/>
      <c r="G93" s="245"/>
      <c r="H93" s="245"/>
      <c r="I93" s="245"/>
      <c r="J93" s="245"/>
      <c r="K93" s="245"/>
      <c r="L93" s="245"/>
      <c r="M93" s="245"/>
      <c r="N93" s="253"/>
    </row>
    <row r="94" spans="2:14">
      <c r="B94" s="200" t="s">
        <v>67</v>
      </c>
      <c r="C94" s="212"/>
      <c r="D94" s="254" t="s">
        <v>68</v>
      </c>
      <c r="E94" s="254"/>
      <c r="F94" s="254"/>
      <c r="G94" s="254"/>
      <c r="H94" s="254"/>
      <c r="I94" s="254"/>
      <c r="J94" s="254"/>
      <c r="K94" s="212"/>
      <c r="L94" s="212"/>
      <c r="M94" s="212"/>
      <c r="N94" s="118"/>
    </row>
    <row r="95" spans="2:14">
      <c r="B95" s="246" t="s">
        <v>69</v>
      </c>
      <c r="C95" s="247"/>
      <c r="D95" s="247"/>
      <c r="E95" s="247"/>
      <c r="F95" s="247"/>
      <c r="G95" s="247"/>
      <c r="H95" s="247"/>
      <c r="I95" s="247"/>
      <c r="J95" s="247"/>
      <c r="K95" s="247"/>
      <c r="L95" s="247"/>
      <c r="M95" s="247"/>
      <c r="N95" s="118"/>
    </row>
    <row r="96" spans="2:14" ht="18.75" customHeight="1">
      <c r="B96" s="249" t="s">
        <v>70</v>
      </c>
      <c r="C96" s="250"/>
      <c r="D96" s="250"/>
      <c r="E96" s="250"/>
      <c r="F96" s="250"/>
      <c r="G96" s="250"/>
      <c r="H96" s="250"/>
      <c r="I96" s="250"/>
      <c r="J96" s="250"/>
      <c r="K96" s="250"/>
      <c r="L96" s="250"/>
      <c r="M96" s="250"/>
      <c r="N96" s="118"/>
    </row>
    <row r="97" spans="2:14">
      <c r="B97" s="246" t="s">
        <v>71</v>
      </c>
      <c r="C97" s="247"/>
      <c r="D97" s="247"/>
      <c r="E97" s="247"/>
      <c r="F97" s="247"/>
      <c r="G97" s="247"/>
      <c r="H97" s="247"/>
      <c r="I97" s="247"/>
      <c r="J97" s="247"/>
      <c r="K97" s="247"/>
      <c r="L97" s="247"/>
      <c r="M97" s="247"/>
      <c r="N97" s="118"/>
    </row>
    <row r="98" spans="2:14" ht="15.75" thickBot="1">
      <c r="B98" s="120"/>
      <c r="C98" s="121"/>
      <c r="D98" s="121"/>
      <c r="E98" s="121"/>
      <c r="F98" s="121"/>
      <c r="G98" s="121"/>
      <c r="H98" s="121"/>
      <c r="I98" s="121"/>
      <c r="J98" s="121"/>
      <c r="K98" s="121"/>
      <c r="L98" s="121"/>
      <c r="M98" s="121"/>
      <c r="N98" s="118"/>
    </row>
    <row r="99" spans="2:14" ht="15.75" thickTop="1">
      <c r="B99" s="135"/>
      <c r="C99" s="214"/>
      <c r="D99" s="214"/>
      <c r="E99" s="214"/>
      <c r="F99" s="214"/>
      <c r="G99" s="214"/>
      <c r="H99" s="214"/>
      <c r="I99" s="214"/>
      <c r="J99" s="214"/>
      <c r="K99" s="214"/>
      <c r="L99" s="214"/>
      <c r="M99" s="214"/>
      <c r="N99" s="215"/>
    </row>
    <row r="100" spans="2:14">
      <c r="B100" s="214"/>
      <c r="C100" s="214"/>
      <c r="D100" s="214"/>
      <c r="E100" s="214"/>
      <c r="F100" s="214"/>
      <c r="G100" s="214"/>
      <c r="H100" s="214"/>
      <c r="I100" s="214"/>
      <c r="J100" s="214"/>
      <c r="K100" s="214"/>
      <c r="L100" s="214"/>
      <c r="M100" s="214"/>
    </row>
    <row r="101" spans="2:14">
      <c r="B101" s="214"/>
      <c r="C101" s="214"/>
      <c r="D101" s="214"/>
      <c r="E101" s="214"/>
      <c r="F101" s="214"/>
      <c r="G101" s="214"/>
      <c r="H101" s="214"/>
      <c r="I101" s="214"/>
      <c r="J101" s="214"/>
      <c r="K101" s="214"/>
      <c r="L101" s="214"/>
      <c r="M101" s="214"/>
    </row>
    <row r="102" spans="2:14">
      <c r="B102" s="214"/>
      <c r="C102" s="214"/>
      <c r="D102" s="214"/>
      <c r="E102" s="214"/>
      <c r="F102" s="214"/>
      <c r="G102" s="214"/>
      <c r="H102" s="214"/>
      <c r="I102" s="214"/>
      <c r="J102" s="214"/>
      <c r="K102" s="214"/>
      <c r="L102" s="214"/>
      <c r="M102" s="214"/>
    </row>
    <row r="103" spans="2:14">
      <c r="B103" s="214"/>
      <c r="C103" s="214"/>
      <c r="D103" s="214"/>
      <c r="E103" s="214"/>
      <c r="F103" s="214"/>
      <c r="G103" s="214"/>
      <c r="H103" s="214"/>
      <c r="I103" s="214"/>
      <c r="J103" s="214"/>
      <c r="K103" s="214"/>
      <c r="L103" s="214"/>
      <c r="M103" s="214"/>
    </row>
    <row r="104" spans="2:14">
      <c r="B104" s="214"/>
      <c r="C104" s="214"/>
      <c r="D104" s="214"/>
      <c r="E104" s="214"/>
      <c r="F104" s="214"/>
      <c r="G104" s="214"/>
      <c r="H104" s="214"/>
      <c r="I104" s="214"/>
      <c r="J104" s="214"/>
      <c r="K104" s="214"/>
      <c r="L104" s="214"/>
      <c r="M104" s="214"/>
    </row>
    <row r="105" spans="2:14">
      <c r="B105" s="214"/>
      <c r="C105" s="214"/>
      <c r="D105" s="214"/>
      <c r="E105" s="214"/>
      <c r="F105" s="214"/>
      <c r="G105" s="214"/>
      <c r="H105" s="214"/>
      <c r="I105" s="214"/>
      <c r="J105" s="214"/>
      <c r="K105" s="214"/>
      <c r="L105" s="214"/>
      <c r="M105" s="214"/>
    </row>
    <row r="106" spans="2:14">
      <c r="B106" s="214"/>
      <c r="C106" s="214"/>
      <c r="D106" s="214"/>
      <c r="E106" s="214"/>
      <c r="F106" s="214"/>
      <c r="G106" s="214"/>
      <c r="H106" s="214"/>
      <c r="I106" s="214"/>
      <c r="J106" s="214"/>
      <c r="K106" s="214"/>
      <c r="L106" s="214"/>
      <c r="M106" s="214"/>
    </row>
    <row r="107" spans="2:14">
      <c r="B107" s="214"/>
      <c r="C107" s="214"/>
      <c r="D107" s="214"/>
      <c r="E107" s="214"/>
      <c r="F107" s="214"/>
      <c r="G107" s="214"/>
      <c r="H107" s="214"/>
      <c r="I107" s="214"/>
      <c r="J107" s="214"/>
      <c r="K107" s="214"/>
      <c r="L107" s="214"/>
      <c r="M107" s="214"/>
    </row>
    <row r="108" spans="2:14">
      <c r="B108" s="214"/>
      <c r="C108" s="214"/>
      <c r="D108" s="214"/>
      <c r="E108" s="214"/>
      <c r="F108" s="214"/>
      <c r="G108" s="214"/>
      <c r="H108" s="214"/>
      <c r="I108" s="214"/>
      <c r="J108" s="214"/>
      <c r="K108" s="214"/>
      <c r="L108" s="214"/>
      <c r="M108" s="214"/>
    </row>
    <row r="109" spans="2:14">
      <c r="B109" s="214"/>
      <c r="C109" s="214"/>
      <c r="D109" s="214"/>
      <c r="E109" s="214"/>
      <c r="F109" s="214"/>
      <c r="G109" s="214"/>
      <c r="H109" s="214"/>
      <c r="I109" s="214"/>
      <c r="J109" s="214"/>
      <c r="K109" s="214"/>
      <c r="L109" s="214"/>
      <c r="M109" s="214"/>
    </row>
    <row r="110" spans="2:14">
      <c r="B110" s="214"/>
      <c r="C110" s="214"/>
      <c r="D110" s="214"/>
      <c r="E110" s="214"/>
      <c r="F110" s="214"/>
      <c r="G110" s="214"/>
      <c r="H110" s="214"/>
      <c r="I110" s="214"/>
      <c r="J110" s="214"/>
      <c r="K110" s="214"/>
      <c r="L110" s="214"/>
      <c r="M110" s="214"/>
    </row>
    <row r="111" spans="2:14">
      <c r="B111" s="214"/>
      <c r="C111" s="214"/>
      <c r="D111" s="214"/>
      <c r="E111" s="214"/>
      <c r="F111" s="214"/>
      <c r="G111" s="214"/>
      <c r="H111" s="214"/>
      <c r="I111" s="214"/>
      <c r="J111" s="214"/>
      <c r="K111" s="214"/>
      <c r="L111" s="214"/>
      <c r="M111" s="214"/>
    </row>
    <row r="112" spans="2:14">
      <c r="B112" s="214"/>
      <c r="C112" s="214"/>
      <c r="D112" s="214"/>
      <c r="E112" s="214"/>
      <c r="F112" s="214"/>
      <c r="G112" s="214"/>
      <c r="H112" s="214"/>
      <c r="I112" s="214"/>
      <c r="J112" s="214"/>
      <c r="K112" s="214"/>
      <c r="L112" s="214"/>
      <c r="M112" s="214"/>
    </row>
    <row r="113" spans="2:13">
      <c r="B113" s="214"/>
      <c r="C113" s="214"/>
      <c r="D113" s="214"/>
      <c r="E113" s="214"/>
      <c r="F113" s="214"/>
      <c r="G113" s="214"/>
      <c r="H113" s="214"/>
      <c r="I113" s="214"/>
      <c r="J113" s="214"/>
      <c r="K113" s="214"/>
      <c r="L113" s="214"/>
      <c r="M113" s="214"/>
    </row>
    <row r="114" spans="2:13">
      <c r="B114" s="214"/>
      <c r="C114" s="214"/>
      <c r="D114" s="214"/>
      <c r="E114" s="214"/>
      <c r="F114" s="214"/>
      <c r="G114" s="214"/>
      <c r="H114" s="214"/>
      <c r="I114" s="214"/>
      <c r="J114" s="214"/>
      <c r="K114" s="214"/>
      <c r="L114" s="214"/>
      <c r="M114" s="214"/>
    </row>
    <row r="115" spans="2:13">
      <c r="B115" s="214"/>
      <c r="C115" s="214"/>
      <c r="D115" s="214"/>
      <c r="E115" s="214"/>
      <c r="F115" s="214"/>
      <c r="G115" s="214"/>
      <c r="H115" s="214"/>
      <c r="I115" s="214"/>
      <c r="J115" s="214"/>
      <c r="K115" s="214"/>
      <c r="L115" s="214"/>
      <c r="M115" s="214"/>
    </row>
    <row r="116" spans="2:13">
      <c r="B116" s="214"/>
      <c r="C116" s="214"/>
      <c r="D116" s="214"/>
      <c r="E116" s="214"/>
      <c r="F116" s="214"/>
      <c r="G116" s="214"/>
      <c r="H116" s="214"/>
      <c r="I116" s="214"/>
      <c r="J116" s="214"/>
      <c r="K116" s="214"/>
      <c r="L116" s="214"/>
      <c r="M116" s="214"/>
    </row>
    <row r="117" spans="2:13">
      <c r="B117" s="214"/>
      <c r="C117" s="214"/>
      <c r="D117" s="214"/>
      <c r="E117" s="214"/>
      <c r="F117" s="214"/>
      <c r="G117" s="214"/>
      <c r="H117" s="214"/>
      <c r="I117" s="214"/>
      <c r="J117" s="214"/>
      <c r="K117" s="214"/>
      <c r="L117" s="214"/>
      <c r="M117" s="214"/>
    </row>
    <row r="118" spans="2:13">
      <c r="B118" s="214"/>
      <c r="C118" s="214"/>
      <c r="D118" s="214"/>
      <c r="E118" s="214"/>
      <c r="F118" s="214"/>
      <c r="G118" s="214"/>
      <c r="H118" s="214"/>
      <c r="I118" s="214"/>
      <c r="J118" s="214"/>
      <c r="K118" s="214"/>
      <c r="L118" s="214"/>
      <c r="M118" s="214"/>
    </row>
    <row r="119" spans="2:13">
      <c r="B119" s="214"/>
      <c r="C119" s="214"/>
      <c r="D119" s="214"/>
      <c r="E119" s="214"/>
      <c r="F119" s="214"/>
      <c r="G119" s="214"/>
      <c r="H119" s="214"/>
      <c r="I119" s="214"/>
      <c r="J119" s="214"/>
      <c r="K119" s="214"/>
      <c r="L119" s="214"/>
      <c r="M119" s="214"/>
    </row>
    <row r="120" spans="2:13">
      <c r="B120" s="214"/>
      <c r="C120" s="214"/>
      <c r="D120" s="214"/>
      <c r="E120" s="214"/>
      <c r="F120" s="214"/>
      <c r="G120" s="214"/>
      <c r="H120" s="214"/>
      <c r="I120" s="214"/>
      <c r="J120" s="214"/>
      <c r="K120" s="214"/>
      <c r="L120" s="214"/>
      <c r="M120" s="214"/>
    </row>
    <row r="121" spans="2:13">
      <c r="B121" s="214"/>
      <c r="C121" s="214"/>
      <c r="D121" s="214"/>
      <c r="E121" s="214"/>
      <c r="F121" s="214"/>
      <c r="G121" s="214"/>
      <c r="H121" s="214"/>
      <c r="I121" s="214"/>
      <c r="J121" s="214"/>
      <c r="K121" s="214"/>
      <c r="L121" s="214"/>
      <c r="M121" s="214"/>
    </row>
    <row r="122" spans="2:13">
      <c r="B122" s="214"/>
      <c r="C122" s="214"/>
      <c r="D122" s="214"/>
      <c r="E122" s="214"/>
      <c r="F122" s="214"/>
      <c r="G122" s="214"/>
      <c r="H122" s="214"/>
      <c r="I122" s="214"/>
      <c r="J122" s="214"/>
      <c r="K122" s="214"/>
      <c r="L122" s="214"/>
      <c r="M122" s="214"/>
    </row>
    <row r="123" spans="2:13">
      <c r="B123" s="214"/>
      <c r="C123" s="214"/>
      <c r="D123" s="214"/>
      <c r="E123" s="214"/>
      <c r="F123" s="214"/>
      <c r="G123" s="214"/>
      <c r="H123" s="214"/>
      <c r="I123" s="214"/>
      <c r="J123" s="214"/>
      <c r="K123" s="214"/>
      <c r="L123" s="214"/>
      <c r="M123" s="214"/>
    </row>
    <row r="124" spans="2:13">
      <c r="B124" s="214"/>
      <c r="C124" s="214"/>
      <c r="D124" s="214"/>
      <c r="E124" s="214"/>
      <c r="F124" s="214"/>
      <c r="G124" s="214"/>
      <c r="H124" s="214"/>
      <c r="I124" s="214"/>
      <c r="J124" s="214"/>
      <c r="K124" s="214"/>
      <c r="L124" s="214"/>
      <c r="M124" s="214"/>
    </row>
    <row r="125" spans="2:13">
      <c r="B125" s="214"/>
      <c r="C125" s="214"/>
      <c r="D125" s="214"/>
      <c r="E125" s="214"/>
      <c r="F125" s="214"/>
      <c r="G125" s="214"/>
      <c r="H125" s="214"/>
      <c r="I125" s="214"/>
      <c r="J125" s="214"/>
      <c r="K125" s="214"/>
      <c r="L125" s="214"/>
      <c r="M125" s="214"/>
    </row>
    <row r="126" spans="2:13">
      <c r="B126" s="214"/>
      <c r="C126" s="214"/>
      <c r="D126" s="214"/>
      <c r="E126" s="214"/>
      <c r="F126" s="214"/>
      <c r="G126" s="214"/>
      <c r="H126" s="214"/>
      <c r="I126" s="214"/>
      <c r="J126" s="214"/>
      <c r="K126" s="214"/>
      <c r="L126" s="214"/>
      <c r="M126" s="214"/>
    </row>
    <row r="127" spans="2:13">
      <c r="B127" s="214"/>
      <c r="C127" s="214"/>
      <c r="D127" s="214"/>
      <c r="E127" s="214"/>
      <c r="F127" s="214"/>
      <c r="G127" s="214"/>
      <c r="H127" s="214"/>
      <c r="I127" s="214"/>
      <c r="J127" s="214"/>
      <c r="K127" s="214"/>
      <c r="L127" s="214"/>
      <c r="M127" s="214"/>
    </row>
    <row r="128" spans="2:13">
      <c r="B128" s="214"/>
      <c r="C128" s="214"/>
      <c r="D128" s="214"/>
      <c r="E128" s="214"/>
      <c r="F128" s="214"/>
      <c r="G128" s="214"/>
      <c r="H128" s="214"/>
      <c r="I128" s="214"/>
      <c r="J128" s="214"/>
      <c r="K128" s="214"/>
      <c r="L128" s="214"/>
      <c r="M128" s="214"/>
    </row>
    <row r="129" spans="2:13">
      <c r="B129" s="214"/>
      <c r="C129" s="214"/>
      <c r="D129" s="214"/>
      <c r="E129" s="214"/>
      <c r="F129" s="214"/>
      <c r="G129" s="214"/>
      <c r="H129" s="214"/>
      <c r="I129" s="214"/>
      <c r="J129" s="214"/>
      <c r="K129" s="214"/>
      <c r="L129" s="214"/>
      <c r="M129" s="214"/>
    </row>
    <row r="130" spans="2:13">
      <c r="B130" s="214"/>
      <c r="C130" s="214"/>
      <c r="D130" s="214"/>
      <c r="E130" s="214"/>
      <c r="F130" s="214"/>
      <c r="G130" s="214"/>
      <c r="H130" s="214"/>
      <c r="I130" s="214"/>
      <c r="J130" s="214"/>
      <c r="K130" s="214"/>
      <c r="L130" s="214"/>
      <c r="M130" s="214"/>
    </row>
    <row r="131" spans="2:13">
      <c r="B131" s="214"/>
      <c r="C131" s="214"/>
      <c r="D131" s="214"/>
      <c r="E131" s="214"/>
      <c r="F131" s="214"/>
      <c r="G131" s="214"/>
      <c r="H131" s="214"/>
      <c r="I131" s="214"/>
      <c r="J131" s="214"/>
      <c r="K131" s="214"/>
      <c r="L131" s="214"/>
      <c r="M131" s="214"/>
    </row>
    <row r="132" spans="2:13">
      <c r="B132" s="214"/>
      <c r="C132" s="214"/>
      <c r="D132" s="214"/>
      <c r="E132" s="214"/>
      <c r="F132" s="214"/>
      <c r="G132" s="214"/>
      <c r="H132" s="214"/>
      <c r="I132" s="214"/>
      <c r="J132" s="214"/>
      <c r="K132" s="214"/>
      <c r="L132" s="214"/>
      <c r="M132" s="214"/>
    </row>
    <row r="133" spans="2:13">
      <c r="B133" s="214"/>
      <c r="C133" s="214"/>
      <c r="D133" s="214"/>
      <c r="E133" s="214"/>
      <c r="F133" s="214"/>
      <c r="G133" s="214"/>
      <c r="H133" s="214"/>
      <c r="I133" s="214"/>
      <c r="J133" s="214"/>
      <c r="K133" s="214"/>
      <c r="L133" s="214"/>
      <c r="M133" s="214"/>
    </row>
  </sheetData>
  <sheetProtection algorithmName="SHA-512" hashValue="yh01Eod32zPVDLDl1P44HfuBLwjD5XUn4SEYO88dZ/MUrlL9eYNlgHzu4boVzoND5C57xOcjFfU6IuCZGTRhpw==" saltValue="uRmvkECY0RrZN/A+5iSiTQ==" spinCount="100000" sheet="1" objects="1"/>
  <mergeCells count="40">
    <mergeCell ref="D94:J94"/>
    <mergeCell ref="B95:M95"/>
    <mergeCell ref="B96:M96"/>
    <mergeCell ref="B97:M97"/>
    <mergeCell ref="B86:M86"/>
    <mergeCell ref="D87:H87"/>
    <mergeCell ref="B89:M89"/>
    <mergeCell ref="B90:M90"/>
    <mergeCell ref="B91:M91"/>
    <mergeCell ref="B93:N93"/>
    <mergeCell ref="B82:M82"/>
    <mergeCell ref="B62:M62"/>
    <mergeCell ref="B63:M63"/>
    <mergeCell ref="B64:M64"/>
    <mergeCell ref="B66:M66"/>
    <mergeCell ref="B72:M72"/>
    <mergeCell ref="B74:N74"/>
    <mergeCell ref="D75:I75"/>
    <mergeCell ref="B76:M76"/>
    <mergeCell ref="B77:M77"/>
    <mergeCell ref="B80:N80"/>
    <mergeCell ref="D81:H81"/>
    <mergeCell ref="B61:M61"/>
    <mergeCell ref="B46:M46"/>
    <mergeCell ref="B47:M47"/>
    <mergeCell ref="B48:M48"/>
    <mergeCell ref="B49:M49"/>
    <mergeCell ref="B50:M50"/>
    <mergeCell ref="B51:M51"/>
    <mergeCell ref="B52:M52"/>
    <mergeCell ref="B53:M53"/>
    <mergeCell ref="B54:M54"/>
    <mergeCell ref="B56:M56"/>
    <mergeCell ref="B58:M58"/>
    <mergeCell ref="B44:M44"/>
    <mergeCell ref="B3:N5"/>
    <mergeCell ref="B7:M7"/>
    <mergeCell ref="B27:M27"/>
    <mergeCell ref="B37:M37"/>
    <mergeCell ref="B40:M40"/>
  </mergeCells>
  <hyperlinks>
    <hyperlink ref="D75" r:id="rId1" xr:uid="{0F079622-07A2-434B-91B9-02A20375A8F8}"/>
    <hyperlink ref="D81" r:id="rId2" location="." xr:uid="{F0A699A5-96D6-47DD-81A5-4404E16DE89B}"/>
    <hyperlink ref="D94" r:id="rId3" xr:uid="{0175673F-2159-4799-B555-3BBE352A823C}"/>
    <hyperlink ref="D87" r:id="rId4" xr:uid="{6B05D379-262D-4D75-AABA-F8D642116661}"/>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dimension ref="B2:M12"/>
  <sheetViews>
    <sheetView showRowColHeaders="0" zoomScaleNormal="100" workbookViewId="0">
      <selection activeCell="D9" sqref="D9:K9"/>
    </sheetView>
  </sheetViews>
  <sheetFormatPr defaultColWidth="9.28515625" defaultRowHeight="15"/>
  <cols>
    <col min="1" max="1" width="9.28515625" style="133"/>
    <col min="2" max="2" width="3.7109375" style="133" customWidth="1"/>
    <col min="3" max="3" width="30.5703125" style="133" customWidth="1"/>
    <col min="4" max="4" width="11.28515625" style="133" bestFit="1" customWidth="1"/>
    <col min="5" max="10" width="9.28515625" style="133"/>
    <col min="11" max="11" width="10.28515625" style="133" customWidth="1"/>
    <col min="12" max="12" width="4.28515625" style="133" customWidth="1"/>
    <col min="13" max="16384" width="9.28515625" style="133"/>
  </cols>
  <sheetData>
    <row r="2" spans="2:13" ht="15.75" thickBot="1"/>
    <row r="3" spans="2:13" ht="15.75" customHeight="1" thickTop="1">
      <c r="B3" s="224" t="s">
        <v>72</v>
      </c>
      <c r="C3" s="225"/>
      <c r="D3" s="225"/>
      <c r="E3" s="225"/>
      <c r="F3" s="225"/>
      <c r="G3" s="225"/>
      <c r="H3" s="225"/>
      <c r="I3" s="225"/>
      <c r="J3" s="225"/>
      <c r="K3" s="225"/>
      <c r="L3" s="226"/>
    </row>
    <row r="4" spans="2:13" ht="15" customHeight="1">
      <c r="B4" s="227"/>
      <c r="C4" s="228"/>
      <c r="D4" s="228"/>
      <c r="E4" s="228"/>
      <c r="F4" s="228"/>
      <c r="G4" s="228"/>
      <c r="H4" s="228"/>
      <c r="I4" s="228"/>
      <c r="J4" s="228"/>
      <c r="K4" s="228"/>
      <c r="L4" s="229"/>
    </row>
    <row r="5" spans="2:13" ht="15" customHeight="1">
      <c r="B5" s="227"/>
      <c r="C5" s="228"/>
      <c r="D5" s="228"/>
      <c r="E5" s="228"/>
      <c r="F5" s="228"/>
      <c r="G5" s="228"/>
      <c r="H5" s="228"/>
      <c r="I5" s="228"/>
      <c r="J5" s="228"/>
      <c r="K5" s="228"/>
      <c r="L5" s="229"/>
    </row>
    <row r="6" spans="2:13" ht="21" customHeight="1">
      <c r="B6" s="128"/>
      <c r="C6" s="140"/>
      <c r="D6" s="140"/>
      <c r="E6" s="140"/>
      <c r="F6" s="140"/>
      <c r="G6" s="140"/>
      <c r="H6" s="140"/>
      <c r="I6" s="140"/>
      <c r="J6" s="140"/>
      <c r="K6" s="140"/>
      <c r="L6" s="118"/>
    </row>
    <row r="7" spans="2:13" ht="18" thickBot="1">
      <c r="B7" s="128"/>
      <c r="C7" s="68" t="s">
        <v>73</v>
      </c>
      <c r="D7" s="256"/>
      <c r="E7" s="256"/>
      <c r="F7" s="256"/>
      <c r="G7" s="256"/>
      <c r="H7" s="256"/>
      <c r="I7" s="256"/>
      <c r="J7" s="256"/>
      <c r="K7" s="256"/>
      <c r="L7" s="142"/>
      <c r="M7" s="137"/>
    </row>
    <row r="8" spans="2:13" ht="35.25" customHeight="1" thickBot="1">
      <c r="B8" s="128"/>
      <c r="C8" s="53" t="s">
        <v>74</v>
      </c>
      <c r="D8" s="257"/>
      <c r="E8" s="257"/>
      <c r="F8" s="257"/>
      <c r="G8" s="257"/>
      <c r="H8" s="257"/>
      <c r="I8" s="257"/>
      <c r="J8" s="257"/>
      <c r="K8" s="257"/>
      <c r="L8" s="141"/>
    </row>
    <row r="9" spans="2:13" ht="39.75" customHeight="1" thickBot="1">
      <c r="B9" s="128"/>
      <c r="C9" s="145" t="s">
        <v>75</v>
      </c>
      <c r="D9" s="257"/>
      <c r="E9" s="257"/>
      <c r="F9" s="257"/>
      <c r="G9" s="257"/>
      <c r="H9" s="257"/>
      <c r="I9" s="257"/>
      <c r="J9" s="257"/>
      <c r="K9" s="257"/>
      <c r="L9" s="143"/>
    </row>
    <row r="10" spans="2:13" ht="97.5" customHeight="1">
      <c r="B10" s="128"/>
      <c r="C10" s="146" t="s">
        <v>76</v>
      </c>
      <c r="D10" s="258"/>
      <c r="E10" s="258"/>
      <c r="F10" s="258"/>
      <c r="G10" s="258"/>
      <c r="H10" s="258"/>
      <c r="I10" s="258"/>
      <c r="J10" s="258"/>
      <c r="K10" s="258"/>
      <c r="L10" s="143"/>
    </row>
    <row r="11" spans="2:13" ht="18.75" customHeight="1" thickBot="1">
      <c r="B11" s="144"/>
      <c r="C11" s="131"/>
      <c r="D11" s="131"/>
      <c r="E11" s="131"/>
      <c r="F11" s="131"/>
      <c r="G11" s="131"/>
      <c r="H11" s="131"/>
      <c r="I11" s="131"/>
      <c r="J11" s="131"/>
      <c r="K11" s="131"/>
      <c r="L11" s="132"/>
    </row>
    <row r="12" spans="2:13" ht="15.75" thickTop="1"/>
  </sheetData>
  <sheetProtection algorithmName="SHA-512" hashValue="ceXb0PjncBi8BAwJgsrU36/KyN6mAsQOHbXJL8g0yDsZ8GLnUdJzeaxoOoB4tAxyGr6z+dYrUaVwt79BE30TDw==" saltValue="yLZaWbLnam7QzGRIhab0+w==" spinCount="100000" sheet="1" objects="1" scenario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dimension ref="A3:N37"/>
  <sheetViews>
    <sheetView showGridLines="0" showRowColHeaders="0" zoomScaleNormal="100" workbookViewId="0">
      <selection activeCell="D9" sqref="D9"/>
    </sheetView>
  </sheetViews>
  <sheetFormatPr defaultColWidth="9.28515625" defaultRowHeight="15"/>
  <cols>
    <col min="1" max="1" width="9.28515625" style="152" customWidth="1"/>
    <col min="2" max="2" width="4.7109375" style="152" customWidth="1"/>
    <col min="3" max="3" width="33.28515625" style="152" customWidth="1"/>
    <col min="4" max="4" width="26.7109375" style="152" customWidth="1"/>
    <col min="5" max="5" width="11.42578125" style="152" customWidth="1"/>
    <col min="6" max="6" width="17.42578125" style="152" customWidth="1"/>
    <col min="7" max="7" width="33.28515625" style="152" customWidth="1"/>
    <col min="8" max="8" width="14.28515625" style="152" customWidth="1"/>
    <col min="9" max="9" width="9" style="152" customWidth="1"/>
    <col min="10" max="10" width="2" style="152" customWidth="1"/>
    <col min="11" max="11" width="7.28515625" style="152" customWidth="1"/>
    <col min="12" max="16384" width="9.28515625" style="152"/>
  </cols>
  <sheetData>
    <row r="3" spans="1:12">
      <c r="A3" s="156"/>
      <c r="B3" s="259" t="s">
        <v>77</v>
      </c>
      <c r="C3" s="260"/>
      <c r="D3" s="260"/>
      <c r="E3" s="260"/>
      <c r="F3" s="260"/>
      <c r="G3" s="260"/>
      <c r="H3" s="260"/>
      <c r="I3" s="260"/>
      <c r="J3" s="261"/>
    </row>
    <row r="4" spans="1:12">
      <c r="A4" s="156"/>
      <c r="B4" s="259"/>
      <c r="C4" s="260"/>
      <c r="D4" s="260"/>
      <c r="E4" s="260"/>
      <c r="F4" s="260"/>
      <c r="G4" s="260"/>
      <c r="H4" s="260"/>
      <c r="I4" s="260"/>
      <c r="J4" s="261"/>
    </row>
    <row r="5" spans="1:12">
      <c r="A5" s="156"/>
      <c r="B5" s="259"/>
      <c r="C5" s="260"/>
      <c r="D5" s="260"/>
      <c r="E5" s="260"/>
      <c r="F5" s="260"/>
      <c r="G5" s="260"/>
      <c r="H5" s="260"/>
      <c r="I5" s="260"/>
      <c r="J5" s="261"/>
    </row>
    <row r="6" spans="1:12" ht="17.25">
      <c r="A6" s="156"/>
      <c r="B6" s="1"/>
      <c r="C6" s="1"/>
      <c r="D6" s="1"/>
      <c r="E6" s="1"/>
      <c r="F6" s="1"/>
      <c r="G6" s="1"/>
      <c r="H6" s="1"/>
      <c r="I6" s="1"/>
      <c r="J6" s="118"/>
      <c r="L6" s="153"/>
    </row>
    <row r="7" spans="1:12" ht="18" customHeight="1">
      <c r="A7" s="156"/>
      <c r="B7" s="1"/>
      <c r="C7" s="264" t="s">
        <v>78</v>
      </c>
      <c r="D7" s="264"/>
      <c r="E7" s="1"/>
      <c r="F7" s="1"/>
      <c r="G7" s="4"/>
      <c r="H7" s="5"/>
      <c r="I7" s="5"/>
      <c r="J7" s="147"/>
      <c r="L7" s="154"/>
    </row>
    <row r="8" spans="1:12" ht="12" customHeight="1">
      <c r="A8" s="156"/>
      <c r="B8" s="1"/>
      <c r="C8" s="1"/>
      <c r="D8" s="1"/>
      <c r="E8" s="1"/>
      <c r="F8" s="1"/>
      <c r="G8" s="3"/>
      <c r="H8" s="3"/>
      <c r="I8" s="3"/>
      <c r="J8" s="148"/>
      <c r="L8" s="154"/>
    </row>
    <row r="9" spans="1:12" ht="22.5" customHeight="1" thickBot="1">
      <c r="A9" s="156"/>
      <c r="B9" s="1"/>
      <c r="C9" s="66" t="s">
        <v>79</v>
      </c>
      <c r="D9" s="107"/>
      <c r="E9" s="1"/>
      <c r="F9" s="1"/>
      <c r="G9" s="1"/>
      <c r="H9" s="77"/>
      <c r="I9" s="3"/>
      <c r="J9" s="148"/>
      <c r="L9" s="154"/>
    </row>
    <row r="10" spans="1:12" ht="21" customHeight="1" thickBot="1">
      <c r="A10" s="156"/>
      <c r="B10" s="1"/>
      <c r="C10" s="65" t="s">
        <v>80</v>
      </c>
      <c r="D10" s="108">
        <v>2.4</v>
      </c>
      <c r="E10" s="6"/>
      <c r="F10" s="6"/>
      <c r="G10" s="263" t="str">
        <f>IFERROR(IF(AND($D$9&lt;DATE(2025,1,1),OR((VLOOKUP($D$13,Lookups!$C$8:$G$24,2,FALSE))&gt;(VLOOKUP($D$13,Lookups!$C$8:$G$24,4,FALSE)),(VLOOKUP($D$13,Lookups!$C$8:$G$24,3,FALSE))&gt;(VLOOKUP($D$13,Lookups!$C$8:$G$24,5,FALSE)))),"A nutrient permit is changing for the selected WwTW as of 01/01/2025. Therefore, two nutrient budgets will be calculated for the loading before and after the 2025 WwTW permit upgrade.",""),"")</f>
        <v/>
      </c>
      <c r="H10" s="77"/>
      <c r="I10" s="3"/>
      <c r="J10" s="148"/>
      <c r="K10" s="153"/>
      <c r="L10" s="155"/>
    </row>
    <row r="11" spans="1:12" ht="30.75" customHeight="1" thickBot="1">
      <c r="A11" s="156"/>
      <c r="B11" s="1"/>
      <c r="C11" s="65" t="s">
        <v>81</v>
      </c>
      <c r="D11" s="109">
        <v>120</v>
      </c>
      <c r="E11" s="7"/>
      <c r="F11" s="7"/>
      <c r="G11" s="263"/>
      <c r="H11" s="77"/>
      <c r="I11" s="7"/>
      <c r="J11" s="141"/>
      <c r="K11" s="154"/>
      <c r="L11" s="155"/>
    </row>
    <row r="12" spans="1:12" ht="36" customHeight="1" thickBot="1">
      <c r="A12" s="156"/>
      <c r="B12" s="1"/>
      <c r="C12" s="65" t="s">
        <v>82</v>
      </c>
      <c r="D12" s="110"/>
      <c r="E12" s="8"/>
      <c r="F12" s="8"/>
      <c r="G12" s="263"/>
      <c r="H12" s="77"/>
      <c r="I12" s="8"/>
      <c r="J12" s="143"/>
      <c r="K12" s="155"/>
    </row>
    <row r="13" spans="1:12" ht="50.25" customHeight="1" thickBot="1">
      <c r="A13" s="156"/>
      <c r="B13" s="1"/>
      <c r="C13" s="67" t="s">
        <v>83</v>
      </c>
      <c r="D13" s="111"/>
      <c r="E13" s="8"/>
      <c r="F13" s="1"/>
      <c r="G13" s="263"/>
      <c r="H13" s="77"/>
      <c r="I13" s="8"/>
      <c r="J13" s="143"/>
      <c r="K13" s="155"/>
    </row>
    <row r="14" spans="1:12" ht="50.25" customHeight="1" thickBot="1">
      <c r="A14" s="156"/>
      <c r="B14" s="1"/>
      <c r="C14" s="15" t="s">
        <v>84</v>
      </c>
      <c r="D14" s="75" t="str">
        <f>(IFERROR(IF(OR(D13="Package Treatment Plant user defined",D13="Septic Tank user defined"),"Please enter value in cell to the right:",IF('Stage 1'!D9&lt;DATE(2025,1,1),VLOOKUP('Stage 1'!D13,Lookups!C8:G27,2,FALSE),VLOOKUP('Stage 1'!D13,Lookups!C8:G26,4,FALSE))),""))</f>
        <v/>
      </c>
      <c r="E14" s="112"/>
      <c r="F14" s="78" t="str">
        <f>IFERROR(IF(AND($D$9&lt;DATE(2025,1,1),(VLOOKUP($D$13,Lookups!$C$8:$G$24,2,FALSE))&gt;(VLOOKUP($D$13,Lookups!$C$8:$G$24,4,FALSE))), "Post 2025 WwTW P permit:",""),"")</f>
        <v/>
      </c>
      <c r="G14" s="80" t="str">
        <f>IFERROR(IF(AND($D$9&lt;DATE(2025,1,1),(VLOOKUP($D$13,Lookups!$C$8:$G$24,2,FALSE))&gt;(VLOOKUP($D$13,Lookups!$C$8:$G$24,4,FALSE))), VLOOKUP('Stage 1'!D13,Lookups!C8:G27,4,FALSE),""),"")</f>
        <v/>
      </c>
      <c r="H14" s="26" t="str">
        <f>IFERROR(IF(AND($D$9&lt;DATE(2025,1,1),(VLOOKUP($D$13,Lookups!$C$8:$G$24,2,FALSE))&gt;(VLOOKUP($D$13,Lookups!$C$8:$G$24,4,FALSE))), "mg TP/litre",""),"")</f>
        <v/>
      </c>
      <c r="I14" s="8"/>
      <c r="J14" s="118"/>
      <c r="K14" s="155"/>
    </row>
    <row r="15" spans="1:12" ht="50.25" customHeight="1">
      <c r="A15" s="156"/>
      <c r="B15" s="1"/>
      <c r="C15" s="64" t="s">
        <v>85</v>
      </c>
      <c r="D15" s="76" t="str">
        <f>IFERROR(IF(OR(D13="Package Treatment Plant user defined",D13="Septic Tank user defined"),"Please enter value in cell to the right:",IF('Stage 1'!D9&lt;DATE(2025,1,1),VLOOKUP('Stage 1'!D13,Lookups!C8:G27, 3,FALSE), VLOOKUP('Stage 1'!D13,Lookups!C8:G26, 5,FALSE))),"")</f>
        <v/>
      </c>
      <c r="E15" s="112"/>
      <c r="F15" s="79" t="str">
        <f>IFERROR(IF(AND($D$9&lt;DATE(2025,1,1),(VLOOKUP($D$13,Lookups!$C$8:$G$24,3,FALSE))&gt;(VLOOKUP($D$13,Lookups!$C$8:$G$24,5,FALSE))), "Post 2025 WwTW N permit:",""),"")</f>
        <v/>
      </c>
      <c r="G15" s="80" t="str">
        <f>IFERROR(IF(AND($D$9&lt;DATE(2025,1,1),(VLOOKUP($D$13,Lookups!$C$8:$G$24,3,FALSE))&gt;(VLOOKUP($D$13,Lookups!$C$8:$G$24,5,FALSE))), VLOOKUP('Stage 1'!D13,Lookups!$C$8:$G$27,5,FALSE),""),"")</f>
        <v/>
      </c>
      <c r="H15" s="26" t="str">
        <f>IFERROR(IF(AND($D$9&lt;DATE(2025,1,1),(VLOOKUP($D$13,Lookups!$C$8:$G$24,3,FALSE))&gt;(VLOOKUP($D$13,Lookups!$C$8:$G$24,5,FALSE))), "mg TN/litre",""),"")</f>
        <v/>
      </c>
      <c r="I15" s="8"/>
      <c r="J15" s="143"/>
      <c r="K15" s="155"/>
    </row>
    <row r="16" spans="1:12" ht="18" customHeight="1">
      <c r="A16" s="156"/>
      <c r="B16" s="1"/>
      <c r="C16" s="1"/>
      <c r="D16" s="1"/>
      <c r="E16" s="1"/>
      <c r="F16" s="1"/>
      <c r="G16" s="1"/>
      <c r="H16" s="1"/>
      <c r="I16" s="1"/>
      <c r="J16" s="118"/>
    </row>
    <row r="17" spans="1:14" ht="18">
      <c r="A17" s="156"/>
      <c r="B17" s="1"/>
      <c r="C17" s="264" t="s">
        <v>86</v>
      </c>
      <c r="D17" s="264"/>
      <c r="E17" s="1"/>
      <c r="F17" s="1"/>
      <c r="G17" s="1"/>
      <c r="H17" s="1"/>
      <c r="I17" s="1"/>
      <c r="J17" s="118"/>
    </row>
    <row r="18" spans="1:14">
      <c r="A18" s="156"/>
      <c r="B18" s="1"/>
      <c r="C18" s="1"/>
      <c r="D18" s="1"/>
      <c r="E18" s="1"/>
      <c r="F18" s="1"/>
      <c r="G18" s="1"/>
      <c r="H18" s="1"/>
      <c r="I18" s="1"/>
      <c r="J18" s="149"/>
    </row>
    <row r="19" spans="1:14" ht="3.75" customHeight="1">
      <c r="A19" s="156"/>
      <c r="B19" s="1"/>
      <c r="C19" s="1"/>
      <c r="D19" s="1"/>
      <c r="E19" s="1"/>
      <c r="F19" s="1"/>
      <c r="G19" s="1"/>
      <c r="H19" s="1"/>
      <c r="I19" s="1"/>
      <c r="J19" s="149"/>
      <c r="N19" s="152" t="s">
        <v>87</v>
      </c>
    </row>
    <row r="20" spans="1:14" ht="17.25">
      <c r="A20" s="156"/>
      <c r="B20" s="1"/>
      <c r="C20" s="262" t="str">
        <f>IFERROR(IF(AND($D$9&lt;DATE(2025,1,1),OR((VLOOKUP($D$13,Lookups!$C$8:$G$24,2,FALSE))&gt;(VLOOKUP($D$13,Lookups!$C$8:$G$24,4,FALSE)),(VLOOKUP($D$13,Lookups!$C$8:$G$24,3,FALSE))&gt;(VLOOKUP($D$13,Lookups!$C$8:$G$24,5,FALSE)))),"Post-2025 Stage 1 Nutrient Loading","Stage 1 Nutrient Loading"),"")</f>
        <v/>
      </c>
      <c r="D20" s="262"/>
      <c r="E20" s="1"/>
      <c r="F20" s="1"/>
      <c r="G20" s="262" t="str">
        <f>IFERROR(IF(AND($D$9&lt;DATE(2025,1,1),OR((VLOOKUP($D$13,Lookups!$C$8:$G$24,2,FALSE))&gt;(VLOOKUP($D$13,Lookups!$C$8:$G$24,4,FALSE)),(VLOOKUP($D$13,Lookups!$C$8:$G$24,3,FALSE))&gt;(VLOOKUP($D$13,Lookups!$C$8:$G$24,5,FALSE)))),"Pre-2025 Stage 1 Nutrient Loading",""),"")</f>
        <v/>
      </c>
      <c r="H20" s="262"/>
      <c r="I20" s="1"/>
      <c r="J20" s="118"/>
    </row>
    <row r="21" spans="1:14">
      <c r="A21" s="156"/>
      <c r="B21" s="1"/>
      <c r="C21" s="1"/>
      <c r="D21" s="1"/>
      <c r="E21" s="1"/>
      <c r="F21" s="1"/>
      <c r="G21" s="1"/>
      <c r="H21" s="1"/>
      <c r="I21" s="1"/>
      <c r="J21" s="149"/>
    </row>
    <row r="22" spans="1:14" ht="17.25" thickBot="1">
      <c r="A22" s="156"/>
      <c r="B22" s="1"/>
      <c r="C22" s="55" t="s">
        <v>88</v>
      </c>
      <c r="D22" s="56" t="str">
        <f>IF(ISBLANK(D12),"",D10*D12)</f>
        <v/>
      </c>
      <c r="E22" s="28" t="s">
        <v>89</v>
      </c>
      <c r="F22" s="1"/>
      <c r="G22" s="19" t="str">
        <f>IFERROR(IF(AND($D$9&lt;DATE(2025,1,1),OR((VLOOKUP($D$13,Lookups!$C$8:$G$24,2,FALSE))&gt;(VLOOKUP($D$13,Lookups!$C$8:$G$24,4,FALSE)),(VLOOKUP($D$13,Lookups!$C$8:$G$24,3,FALSE))&gt;(VLOOKUP($D$13,Lookups!$C$8:$G$24,5,FALSE)))),"Annual wastewater TP load:",""),"")</f>
        <v/>
      </c>
      <c r="H22" s="21" t="str">
        <f>IFERROR(IF(AND($D$9&lt;DATE(2025,1,1),OR((VLOOKUP($D$13,Lookups!$C$8:$G$24,2,FALSE))&gt;(VLOOKUP($D$13,Lookups!$C$8:$G$24,4,FALSE)),(VLOOKUP($D$13,Lookups!$C$8:$G$24,3,FALSE))&gt;(VLOOKUP($D$13,Lookups!$C$8:$G$24,5,FALSE)))),IF(D14=8,(D14*D$23)/1000000*365.25,(D14*D$23*0.9)/1000000*365.25),""),"")</f>
        <v/>
      </c>
      <c r="I22" s="28" t="str">
        <f>IFERROR(IF(AND($D$9&lt;DATE(2025,1,1),OR((VLOOKUP($D$13,Lookups!$C$8:$G$24,2,FALSE))&gt;(VLOOKUP($D$13,Lookups!$C$8:$G$24,4,FALSE)),(VLOOKUP($D$13,Lookups!$C$8:$G$24,3,FALSE))&gt;(VLOOKUP($D$13,Lookups!$C$8:$G$24,5,FALSE)))),"kg TP/yr",""),"")</f>
        <v/>
      </c>
      <c r="J22" s="150"/>
    </row>
    <row r="23" spans="1:14" ht="15.75" thickBot="1">
      <c r="A23" s="156"/>
      <c r="B23" s="1"/>
      <c r="C23" s="27" t="s">
        <v>90</v>
      </c>
      <c r="D23" s="54" t="str">
        <f>IFERROR(D22*D11,"")</f>
        <v/>
      </c>
      <c r="E23" s="28" t="s">
        <v>91</v>
      </c>
      <c r="F23" s="1"/>
      <c r="G23" s="19" t="str">
        <f>IFERROR(IF(AND($D$9&lt;DATE(2025,1,1),OR((VLOOKUP($D$13,Lookups!$C$8:$G$24,2,FALSE))&gt;(VLOOKUP($D$13,Lookups!$C$8:$G$24,4,FALSE)),(VLOOKUP($D$13,Lookups!$C$8:$G$24,3,FALSE))&gt;(VLOOKUP($D$13,Lookups!$C$8:$G$24,5,FALSE)))),"Annual wastewater TN load:",""),"")</f>
        <v/>
      </c>
      <c r="H23" s="21" t="str">
        <f>IFERROR(IF(AND($D$9&lt;DATE(2025,1,1),OR((VLOOKUP($D$13,Lookups!$C$8:$G$24,2,FALSE))&gt;(VLOOKUP($D$13,Lookups!$C$8:$G$24,4,FALSE)),(VLOOKUP($D$13,Lookups!$C$8:$G$24,3,FALSE))&gt;(VLOOKUP($D$13,Lookups!$C$8:$G$24,5,FALSE)))),IF(D15=27,(D15*D$23)/1000000*365.25,(D15*D$23*0.9)/1000000*365.25),""),"")</f>
        <v/>
      </c>
      <c r="I23" s="28" t="str">
        <f>IFERROR(IF(AND($D$9&lt;DATE(2025,1,1),OR((VLOOKUP($D$13,Lookups!$C$8:$G$24,2,FALSE))&gt;(VLOOKUP($D$13,Lookups!$C$8:$G$24,4,FALSE)),(VLOOKUP($D$13,Lookups!$C$8:$G$24,3,FALSE))&gt;(VLOOKUP($D$13,Lookups!$C$8:$G$24,5,FALSE)))),"kg TN/yr",""),"")</f>
        <v/>
      </c>
      <c r="J23" s="118"/>
    </row>
    <row r="24" spans="1:14" hidden="1">
      <c r="A24" s="156"/>
      <c r="B24" s="1"/>
      <c r="C24" s="1"/>
      <c r="D24" s="1"/>
      <c r="E24" s="81"/>
      <c r="F24" s="1"/>
      <c r="G24" s="1"/>
      <c r="H24" s="1"/>
      <c r="I24" s="81"/>
      <c r="J24" s="118"/>
    </row>
    <row r="25" spans="1:14" hidden="1">
      <c r="A25" s="156"/>
      <c r="B25" s="1"/>
      <c r="C25" s="1"/>
      <c r="D25" s="1"/>
      <c r="E25" s="81"/>
      <c r="F25" s="1"/>
      <c r="G25" s="84"/>
      <c r="H25" s="84"/>
      <c r="I25" s="85"/>
      <c r="J25" s="151"/>
    </row>
    <row r="26" spans="1:14" ht="15.75" hidden="1" thickBot="1">
      <c r="A26" s="156"/>
      <c r="B26" s="1"/>
      <c r="C26" s="55" t="s">
        <v>92</v>
      </c>
      <c r="D26" s="56" t="str">
        <f>IFERROR(IF(ISNUMBER(G14),G14*D23*0.9,IF(D14="Please enter value in cell to the right:",IF(AND(D14="Please enter value in cell to the right:",ISNUMBER(E14)),D23*E14, VLOOKUP((LEFT(D13,(LEN(D13)-13))&amp;" default"),Lookups!C23:E24,2,FALSE)*D23),IF(OR(D13="Package Treatment Plant default",D13="Septic Tank default"),D14*D23,IF(D14=8,D14*D23,D14*D23*0.9)))),"")</f>
        <v/>
      </c>
      <c r="E26" s="28" t="s">
        <v>93</v>
      </c>
      <c r="F26" s="1"/>
      <c r="G26" s="86"/>
      <c r="H26" s="84"/>
      <c r="I26" s="84"/>
      <c r="J26" s="151"/>
    </row>
    <row r="27" spans="1:14" ht="15.75" hidden="1" thickBot="1">
      <c r="A27" s="156"/>
      <c r="B27" s="1"/>
      <c r="C27" s="27" t="s">
        <v>94</v>
      </c>
      <c r="D27" s="54" t="str">
        <f>IFERROR($D$26/1000000,"")</f>
        <v/>
      </c>
      <c r="E27" s="28" t="s">
        <v>95</v>
      </c>
      <c r="F27" s="1"/>
      <c r="G27" s="86"/>
      <c r="H27" s="90"/>
      <c r="I27" s="87"/>
      <c r="J27" s="151"/>
    </row>
    <row r="28" spans="1:14" ht="15.75" hidden="1" thickBot="1">
      <c r="A28" s="156"/>
      <c r="B28" s="1"/>
      <c r="C28" s="57" t="s">
        <v>96</v>
      </c>
      <c r="D28" s="59" t="str">
        <f>IFERROR($D$27*365.25,"")</f>
        <v/>
      </c>
      <c r="E28" s="28" t="s">
        <v>97</v>
      </c>
      <c r="F28" s="1"/>
      <c r="G28" s="86"/>
      <c r="H28" s="91"/>
      <c r="I28" s="87"/>
      <c r="J28" s="151"/>
    </row>
    <row r="29" spans="1:14">
      <c r="A29" s="156"/>
      <c r="B29" s="1"/>
      <c r="C29" s="58" t="s">
        <v>98</v>
      </c>
      <c r="D29" s="60" t="str">
        <f>D28</f>
        <v/>
      </c>
      <c r="E29" s="82" t="s">
        <v>97</v>
      </c>
      <c r="F29" s="1"/>
      <c r="G29" s="88"/>
      <c r="H29" s="92"/>
      <c r="I29" s="89"/>
      <c r="J29" s="151"/>
    </row>
    <row r="30" spans="1:14" hidden="1">
      <c r="A30" s="156"/>
      <c r="B30" s="1"/>
      <c r="C30" s="1"/>
      <c r="D30" s="1"/>
      <c r="E30" s="81"/>
      <c r="F30" s="1"/>
      <c r="G30" s="84"/>
      <c r="H30" s="84"/>
      <c r="I30" s="85"/>
      <c r="J30" s="151"/>
    </row>
    <row r="31" spans="1:14" hidden="1">
      <c r="A31" s="156"/>
      <c r="B31" s="1"/>
      <c r="C31" s="1"/>
      <c r="D31" s="1"/>
      <c r="E31" s="81"/>
      <c r="F31" s="1"/>
      <c r="G31" s="84"/>
      <c r="H31" s="84"/>
      <c r="I31" s="85"/>
      <c r="J31" s="151"/>
    </row>
    <row r="32" spans="1:14" ht="15.75" hidden="1" thickBot="1">
      <c r="A32" s="156"/>
      <c r="B32" s="1"/>
      <c r="C32" s="27" t="s">
        <v>99</v>
      </c>
      <c r="D32" s="54" t="str">
        <f>IFERROR(IF(ISNUMBER(G15),G15*D23*0.9,IF(D15="Please enter value in cell to the right:",IF(AND(D15="Please enter value in cell to the right:",ISNUMBER(E15)),D23*E15, VLOOKUP((LEFT(D13,(LEN(D13)-13))&amp;" default"),Lookups!C23:E24,3,FALSE)*D23),IF(OR(D13="Package Treatment Plant default",D13="Septic Tank default"),D15*D23,IF(D15=27,D15*D23,D15*D23*0.9)))),"")</f>
        <v/>
      </c>
      <c r="E32" s="28" t="s">
        <v>100</v>
      </c>
      <c r="F32" s="1"/>
      <c r="G32" s="86"/>
      <c r="H32" s="90"/>
      <c r="I32" s="87"/>
      <c r="J32" s="151"/>
    </row>
    <row r="33" spans="1:10" ht="15.75" hidden="1" thickBot="1">
      <c r="A33" s="156"/>
      <c r="B33" s="1"/>
      <c r="C33" s="61" t="s">
        <v>101</v>
      </c>
      <c r="D33" s="62" t="str">
        <f>IFERROR($D$32/1000000,"")</f>
        <v/>
      </c>
      <c r="E33" s="28" t="s">
        <v>102</v>
      </c>
      <c r="F33" s="1"/>
      <c r="G33" s="86"/>
      <c r="H33" s="90"/>
      <c r="I33" s="87"/>
      <c r="J33" s="151"/>
    </row>
    <row r="34" spans="1:10" ht="15.75" hidden="1" thickBot="1">
      <c r="A34" s="156"/>
      <c r="B34" s="1"/>
      <c r="C34" s="61" t="s">
        <v>103</v>
      </c>
      <c r="D34" s="63" t="str">
        <f>IFERROR($D$33*365.25,"")</f>
        <v/>
      </c>
      <c r="E34" s="28" t="s">
        <v>104</v>
      </c>
      <c r="F34" s="1"/>
      <c r="G34" s="86"/>
      <c r="H34" s="91"/>
      <c r="I34" s="87"/>
      <c r="J34" s="151"/>
    </row>
    <row r="35" spans="1:10">
      <c r="A35" s="156"/>
      <c r="B35" s="1"/>
      <c r="C35" s="19" t="s">
        <v>105</v>
      </c>
      <c r="D35" s="20" t="str">
        <f>D34</f>
        <v/>
      </c>
      <c r="E35" s="82" t="s">
        <v>104</v>
      </c>
      <c r="F35" s="1"/>
      <c r="G35" s="88"/>
      <c r="H35" s="92"/>
      <c r="I35" s="89"/>
      <c r="J35" s="151"/>
    </row>
    <row r="36" spans="1:10" ht="15.75" thickBot="1">
      <c r="A36" s="156"/>
      <c r="B36" s="144"/>
      <c r="C36" s="131"/>
      <c r="D36" s="131"/>
      <c r="E36" s="131"/>
      <c r="F36" s="131"/>
      <c r="G36" s="131"/>
      <c r="H36" s="131"/>
      <c r="I36" s="131"/>
      <c r="J36" s="132"/>
    </row>
    <row r="37" spans="1:10" ht="15.75" thickTop="1"/>
  </sheetData>
  <sheetProtection algorithmName="SHA-512" hashValue="p4yGyhAOj4Y552xFr/MVxDqz8eDTlJJKbBnhuRK+fUmUEP279ENnNycAUCipPMn/4767+pQg72gaFwdqM4AOWQ==" saltValue="MwWUVtYy90xcfLMq+pTx8A==" spinCount="100000" sheet="1" selectLockedCells="1"/>
  <protectedRanges>
    <protectedRange algorithmName="SHA-512" hashValue="9eFLYwbQxhpezS4HULhG7iBaGmH5LoseTU2XnhelcWF+/l82pYUC3srt3byn/vuneXy5XFyZVPQbagh6SLqRzQ==" saltValue="CEix3VmL8kRrd4op8qAhjg==" spinCount="100000" sqref="E14:E15 D9:D13" name="Range1"/>
  </protectedRanges>
  <mergeCells count="6">
    <mergeCell ref="B3:J5"/>
    <mergeCell ref="C20:D20"/>
    <mergeCell ref="G20:H20"/>
    <mergeCell ref="G10:G13"/>
    <mergeCell ref="C17:D17"/>
    <mergeCell ref="C7:D7"/>
  </mergeCells>
  <conditionalFormatting sqref="E14:E15">
    <cfRule type="expression" dxfId="9" priority="10">
      <formula>OR(ISNUMBER($D$15),ISBLANK($D$13))</formula>
    </cfRule>
    <cfRule type="expression" dxfId="8" priority="11">
      <formula>($D$15="Please enter value in cell to the right:")</formula>
    </cfRule>
  </conditionalFormatting>
  <conditionalFormatting sqref="G14">
    <cfRule type="expression" dxfId="7" priority="5">
      <formula>ISNUMBER($G$14)</formula>
    </cfRule>
  </conditionalFormatting>
  <conditionalFormatting sqref="G10 H9:H15">
    <cfRule type="expression" dxfId="6" priority="12">
      <formula>_xlfn.ISFORMULA($G$10)</formula>
    </cfRule>
    <cfRule type="expression" dxfId="5" priority="13">
      <formula>ISTEXT($G$10)</formula>
    </cfRule>
  </conditionalFormatting>
  <conditionalFormatting sqref="G15">
    <cfRule type="expression" dxfId="4" priority="4">
      <formula>ISNUMBER($G$15)</formula>
    </cfRule>
  </conditionalFormatting>
  <conditionalFormatting sqref="H22">
    <cfRule type="expression" dxfId="3" priority="2">
      <formula>ISNUMBER($H$22)</formula>
    </cfRule>
  </conditionalFormatting>
  <conditionalFormatting sqref="H23">
    <cfRule type="expression" dxfId="2" priority="1">
      <formula>ISNUMBER(H23)</formula>
    </cfRule>
  </conditionalFormatting>
  <dataValidations count="4">
    <dataValidation type="date" operator="greaterThan" allowBlank="1" showInputMessage="1" showErrorMessage="1" errorTitle="Date Error" error="Please enter a date after 01/01/2022 date in correct dd/mm/yyyy format." prompt="Enter date as dd/mm/yyyy format. " sqref="D9" xr:uid="{515E4566-AFB5-4866-94DE-CB431AAF4C1A}">
      <formula1>44562</formula1>
    </dataValidation>
    <dataValidation type="decimal" operator="greaterThan" showInputMessage="1" showErrorMessage="1" prompt="The average occupancy rate (people per dwelling/unit) should not be edited unless there is sufficient evidence." sqref="D10" xr:uid="{31DEF3BB-E2E5-4E5C-BF5A-2425D3EB9410}">
      <formula1>0</formula1>
    </dataValidation>
    <dataValidation type="whole" operator="greaterThan" showInputMessage="1" showErrorMessage="1" errorTitle="Water usage:" error="Please enter a whole number in litres/person/day" prompt="Keep as 120 unless other efficiency measures are used. " sqref="D11"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xr:uid="{87F490E9-C1CC-4992-A666-0F3B65B428BF}">
      <formula1>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r:uid="{76E0497B-089C-459A-B2E2-C8A2AF71C14C}">
          <x14:formula1>
            <xm:f>'C:\Users\DS56\OneDrive - Ricardo Plc\NE NN\[Copy of Herefordshire Council Phosphate Budget Calculator_Final.xlsx]Stage 2 and 3 lookups'!#REF!</xm:f>
          </x14:formula1>
          <xm:sqref>J8:J10</xm:sqref>
        </x14:dataValidation>
        <x14:dataValidation type="list" allowBlank="1" showInputMessage="1" showErrorMessage="1" xr:uid="{2060F248-1654-4F8C-B1B2-CB874E476D6E}">
          <x14:formula1>
            <xm:f>Lookups!$C$8:$C$26</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dimension ref="A3:J34"/>
  <sheetViews>
    <sheetView showGridLines="0" showRowColHeaders="0" zoomScaleNormal="100" workbookViewId="0">
      <selection activeCell="E9" sqref="E9"/>
    </sheetView>
  </sheetViews>
  <sheetFormatPr defaultColWidth="9.28515625" defaultRowHeight="15"/>
  <cols>
    <col min="1" max="1" width="9.28515625" style="133"/>
    <col min="2" max="2" width="4.7109375" style="133" customWidth="1"/>
    <col min="3" max="3" width="32.28515625" style="133" customWidth="1"/>
    <col min="4" max="4" width="8.42578125" style="133" bestFit="1" customWidth="1"/>
    <col min="5" max="5" width="21.28515625" style="133" customWidth="1"/>
    <col min="6" max="6" width="17.7109375" style="133" customWidth="1"/>
    <col min="7" max="7" width="5.42578125" style="133" customWidth="1"/>
    <col min="8" max="8" width="8.28515625" style="133" customWidth="1"/>
    <col min="9" max="9" width="9.28515625" style="133" customWidth="1"/>
    <col min="10" max="10" width="26.28515625" style="133" customWidth="1"/>
    <col min="11" max="16384" width="9.28515625" style="133"/>
  </cols>
  <sheetData>
    <row r="3" spans="1:10">
      <c r="A3" s="134"/>
      <c r="B3" s="259" t="s">
        <v>106</v>
      </c>
      <c r="C3" s="260"/>
      <c r="D3" s="260"/>
      <c r="E3" s="260"/>
      <c r="F3" s="260"/>
      <c r="G3" s="261"/>
    </row>
    <row r="4" spans="1:10">
      <c r="A4" s="134"/>
      <c r="B4" s="259"/>
      <c r="C4" s="260"/>
      <c r="D4" s="260"/>
      <c r="E4" s="260"/>
      <c r="F4" s="260"/>
      <c r="G4" s="261"/>
    </row>
    <row r="5" spans="1:10">
      <c r="A5" s="134"/>
      <c r="B5" s="259"/>
      <c r="C5" s="260"/>
      <c r="D5" s="260"/>
      <c r="E5" s="260"/>
      <c r="F5" s="260"/>
      <c r="G5" s="261"/>
    </row>
    <row r="6" spans="1:10" ht="17.25">
      <c r="A6" s="134"/>
      <c r="B6" s="1"/>
      <c r="C6" s="1"/>
      <c r="D6" s="1"/>
      <c r="E6" s="1"/>
      <c r="F6" s="1"/>
      <c r="G6" s="142"/>
    </row>
    <row r="7" spans="1:10" ht="18" customHeight="1">
      <c r="A7" s="134"/>
      <c r="B7" s="1"/>
      <c r="C7" s="268" t="s">
        <v>78</v>
      </c>
      <c r="D7" s="268"/>
      <c r="E7" s="268"/>
      <c r="F7" s="268"/>
      <c r="G7" s="141"/>
    </row>
    <row r="8" spans="1:10" ht="12" customHeight="1">
      <c r="A8" s="134"/>
      <c r="B8" s="1"/>
      <c r="C8" s="1"/>
      <c r="D8" s="1"/>
      <c r="E8" s="1"/>
      <c r="F8" s="1"/>
      <c r="G8" s="141"/>
    </row>
    <row r="9" spans="1:10" ht="18" thickBot="1">
      <c r="A9" s="134"/>
      <c r="B9" s="1"/>
      <c r="C9" s="266" t="s">
        <v>107</v>
      </c>
      <c r="D9" s="266"/>
      <c r="E9" s="221"/>
      <c r="F9" s="1"/>
      <c r="G9" s="141"/>
    </row>
    <row r="10" spans="1:10" ht="18" thickBot="1">
      <c r="A10" s="134"/>
      <c r="B10" s="1"/>
      <c r="C10" s="267" t="s">
        <v>108</v>
      </c>
      <c r="D10" s="267"/>
      <c r="E10" s="101"/>
      <c r="F10" s="1"/>
      <c r="G10" s="143"/>
    </row>
    <row r="11" spans="1:10" ht="18" thickBot="1">
      <c r="A11" s="134"/>
      <c r="B11" s="1"/>
      <c r="C11" s="267" t="s">
        <v>109</v>
      </c>
      <c r="D11" s="267"/>
      <c r="E11" s="102"/>
      <c r="F11" s="1"/>
      <c r="G11" s="143"/>
    </row>
    <row r="12" spans="1:10">
      <c r="A12" s="134"/>
      <c r="B12" s="1"/>
      <c r="C12" s="265" t="s">
        <v>110</v>
      </c>
      <c r="D12" s="265"/>
      <c r="E12" s="103"/>
      <c r="F12" s="1"/>
      <c r="G12" s="118"/>
    </row>
    <row r="13" spans="1:10">
      <c r="A13" s="134"/>
      <c r="B13" s="1"/>
      <c r="C13" s="1"/>
      <c r="D13" s="1"/>
      <c r="E13" s="1"/>
      <c r="F13" s="1"/>
      <c r="G13" s="118"/>
    </row>
    <row r="14" spans="1:10" ht="63" customHeight="1" thickBot="1">
      <c r="A14" s="134"/>
      <c r="B14" s="1"/>
      <c r="C14" s="70" t="s">
        <v>111</v>
      </c>
      <c r="D14" s="71" t="s">
        <v>112</v>
      </c>
      <c r="E14" s="71" t="s">
        <v>113</v>
      </c>
      <c r="F14" s="72" t="s">
        <v>114</v>
      </c>
      <c r="G14" s="118"/>
    </row>
    <row r="15" spans="1:10">
      <c r="A15" s="134"/>
      <c r="B15" s="1"/>
      <c r="C15" s="104"/>
      <c r="D15" s="177"/>
      <c r="E15" s="175" t="str">
        <f>IF(OR(ISBLANK($C15),ISBLANK($D15),ISBLANK($E$10),ISBLANK($E$11)),"",IFERROR($D15*VLOOKUP((IF(OR($C15="Residential urban land",$C15="Commercial/industrial urban land",$C15="Open urban land",$C15="Greenspace",$C15="Community food growing",$C15="Woodland",$C15="Shrub", $C15="Water"), "|||"&amp;$C15, (VLOOKUP('Stage 2'!$E$9,Lookups!$C$272:$D$275,2,FALSE)&amp;"|"&amp;$C15&amp;"|"&amp;VLOOKUP('Stage 2'!$E$12,Lookups!$C$289:$D$290,2,FALSE)&amp;"|"&amp;VLOOKUP('Stage 2'!$E$11,Lookups!$C$246:$E$268,3,FALSE)&amp;"|"&amp;VLOOKUP($E$10,Lookups!$C$280:$D$285,2,FALSE)))),Lookups!$H$30:$J$242,2,FALSE),
IFERROR(IFERROR($D15*VLOOKUP($C15&amp;"|"&amp;VLOOKUP('Stage 2'!$E$12,Lookups!$C$289:$D$290,2,FALSE)&amp;"|"&amp;VLOOKUP('Stage 2'!$E$11,Lookups!$C$246:$E$268,3,FALSE)&amp;"|"&amp;VLOOKUP($E$10,Lookups!$C$280:$D$285,2,FALSE),Lookups!$H$30:$J$242,2,FALSE),IFERROR($D15*VLOOKUP($C15&amp;"|"&amp;"TRUE"&amp;"|"&amp;VLOOKUP('Stage 2'!$E$11,Lookups!$C$246:$E$268,3,FALSE)&amp;"|"&amp;VLOOKUP($E$10,Lookups!$C$280:$D$285,2,FALSE),Lookups!$H$30:$J$242,2,FALSE),$D15*VLOOKUP($C15&amp;"|"&amp;VLOOKUP('Stage 2'!$E$12,Lookups!$C$289:$D$290,2,FALSE)&amp;"|"&amp;VLOOKUP('Stage 2'!$E$11,Lookups!$C$246:$E$268,3,FALSE)&amp;"|"&amp;"DrainedArGr",Lookups!$H$30:$J$242,2,FALSE))),IFERROR($D15*VLOOKUP($C15&amp;"|"&amp;VLOOKUP('Stage 2'!$E$11,Lookups!$C$246:$E$268,3,FALSE),Lookups!$K$30:$M$234,2,FALSE),$D15*VLOOKUP($C15,Lookups!$D$30:$O$234,11,FALSE)))))</f>
        <v/>
      </c>
      <c r="F15" s="174" t="str">
        <f>IF(OR(ISBLANK($C15),ISBLANK($D15),ISBLANK($E$10),ISBLANK($E$11)),"",IFERROR($D15*VLOOKUP((IF(OR($C15="Residential urban land",$C15="Commercial/industrial urban land",$C15="Open urban land",$C15="Greenspace",$C15="Community food growing",$C15="Woodland",$C15="Shrub", $C15="Water"), "|||"&amp;$C15, (VLOOKUP('Stage 2'!$E$9,Lookups!$C$272:$D$275,2,FALSE)&amp;"|"&amp;$C15&amp;"|"&amp;VLOOKUP('Stage 2'!$E$12,Lookups!$C$289:$D$290,2,FALSE)&amp;"|"&amp;VLOOKUP('Stage 2'!$E$11,Lookups!$C$246:$E$268,3,FALSE)&amp;"|"&amp;VLOOKUP($E$10,Lookups!$C$280:$D$285,2,FALSE)))),Lookups!$H$30:$J$242,3,FALSE),
IFERROR(IFERROR($D15*VLOOKUP($C15&amp;"|"&amp;VLOOKUP('Stage 2'!$E$12,Lookups!$C$289:$D$290,2,FALSE)&amp;"|"&amp;VLOOKUP('Stage 2'!$E$11,Lookups!$C$246:$E$268,3,FALSE)&amp;"|"&amp;VLOOKUP($E$10,Lookups!$C$280:$D$285,2,FALSE),Lookups!$H$30:$J$242,3,FALSE),IFERROR($D15*VLOOKUP($C15&amp;"|"&amp;"TRUE"&amp;"|"&amp;VLOOKUP('Stage 2'!$E$11,Lookups!$C$246:$E$268,3,FALSE)&amp;"|"&amp;VLOOKUP($E$10,Lookups!$C$280:$D$285,2,FALSE),Lookups!$H$30:$J$242,3,FALSE),$D15*VLOOKUP($C15&amp;"|"&amp;VLOOKUP('Stage 2'!$E$12,Lookups!$C$289:$D$290,2,FALSE)&amp;"|"&amp;VLOOKUP('Stage 2'!$E$11,Lookups!$C$246:$E$268,3,FALSE)&amp;"|"&amp;"DrainedArGr",Lookups!$H$30:$J$242,3,FALSE))),IFERROR($D15*VLOOKUP($C15&amp;"|"&amp;VLOOKUP('Stage 2'!$E$11,Lookups!$C$246:$E$268,3,FALSE),Lookups!$K$30:$M$234,3,FALSE),$D15*VLOOKUP($C15,Lookups!$D$30:$O$234,12,FALSE)))))</f>
        <v/>
      </c>
      <c r="G15" s="157"/>
      <c r="H15" s="158"/>
      <c r="I15" s="158"/>
      <c r="J15" s="158"/>
    </row>
    <row r="16" spans="1:10">
      <c r="A16" s="134"/>
      <c r="B16" s="1"/>
      <c r="C16" s="104"/>
      <c r="D16" s="105"/>
      <c r="E16" s="175" t="str">
        <f>IF(OR(ISBLANK($C16),ISBLANK($D16),ISBLANK($E$10),ISBLANK($E$11)),"",IFERROR($D16*VLOOKUP((IF(OR($C16="Residential urban land",$C16="Commercial/industrial urban land",$C16="Open urban land",$C16="Greenspace",$C16="Community food growing",$C16="Woodland",$C16="Shrub", $C16="Water"), "|||"&amp;$C16, (VLOOKUP('Stage 2'!$E$9,Lookups!$C$272:$D$275,2,FALSE)&amp;"|"&amp;$C16&amp;"|"&amp;VLOOKUP('Stage 2'!$E$12,Lookups!$C$289:$D$290,2,FALSE)&amp;"|"&amp;VLOOKUP('Stage 2'!$E$11,Lookups!$C$246:$E$268,3,FALSE)&amp;"|"&amp;VLOOKUP($E$10,Lookups!$C$280:$D$285,2,FALSE)))),Lookups!$H$30:$J$242,2,FALSE),
IFERROR(IFERROR($D16*VLOOKUP($C16&amp;"|"&amp;VLOOKUP('Stage 2'!$E$12,Lookups!$C$289:$D$290,2,FALSE)&amp;"|"&amp;VLOOKUP('Stage 2'!$E$11,Lookups!$C$246:$E$268,3,FALSE)&amp;"|"&amp;VLOOKUP($E$10,Lookups!$C$280:$D$285,2,FALSE),Lookups!$H$30:$J$242,2,FALSE),IFERROR($D16*VLOOKUP($C16&amp;"|"&amp;"TRUE"&amp;"|"&amp;VLOOKUP('Stage 2'!$E$11,Lookups!$C$246:$E$268,3,FALSE)&amp;"|"&amp;VLOOKUP($E$10,Lookups!$C$280:$D$285,2,FALSE),Lookups!$H$30:$J$242,2,FALSE),$D16*VLOOKUP($C16&amp;"|"&amp;VLOOKUP('Stage 2'!$E$12,Lookups!$C$289:$D$290,2,FALSE)&amp;"|"&amp;VLOOKUP('Stage 2'!$E$11,Lookups!$C$246:$E$268,3,FALSE)&amp;"|"&amp;"DrainedArGr",Lookups!$H$30:$J$242,2,FALSE))),IFERROR($D16*VLOOKUP($C16&amp;"|"&amp;VLOOKUP('Stage 2'!$E$11,Lookups!$C$246:$E$268,3,FALSE),Lookups!$K$30:$M$234,2,FALSE),$D16*VLOOKUP($C16,Lookups!$D$30:$O$234,11,FALSE)))))</f>
        <v/>
      </c>
      <c r="F16" s="174" t="str">
        <f>IF(OR(ISBLANK($C16),ISBLANK($D16),ISBLANK($E$10),ISBLANK($E$11)),"",IFERROR($D16*VLOOKUP((IF(OR($C16="Residential urban land",$C16="Commercial/industrial urban land",$C16="Open urban land",$C16="Greenspace",$C16="Community food growing",$C16="Woodland",$C16="Shrub", $C16="Water"), "|||"&amp;$C16, (VLOOKUP('Stage 2'!$E$9,Lookups!$C$272:$D$275,2,FALSE)&amp;"|"&amp;$C16&amp;"|"&amp;VLOOKUP('Stage 2'!$E$12,Lookups!$C$289:$D$290,2,FALSE)&amp;"|"&amp;VLOOKUP('Stage 2'!$E$11,Lookups!$C$246:$E$268,3,FALSE)&amp;"|"&amp;VLOOKUP($E$10,Lookups!$C$280:$D$285,2,FALSE)))),Lookups!$H$30:$J$242,3,FALSE),
IFERROR(IFERROR($D16*VLOOKUP($C16&amp;"|"&amp;VLOOKUP('Stage 2'!$E$12,Lookups!$C$289:$D$290,2,FALSE)&amp;"|"&amp;VLOOKUP('Stage 2'!$E$11,Lookups!$C$246:$E$268,3,FALSE)&amp;"|"&amp;VLOOKUP($E$10,Lookups!$C$280:$D$285,2,FALSE),Lookups!$H$30:$J$242,3,FALSE),IFERROR($D16*VLOOKUP($C16&amp;"|"&amp;"TRUE"&amp;"|"&amp;VLOOKUP('Stage 2'!$E$11,Lookups!$C$246:$E$268,3,FALSE)&amp;"|"&amp;VLOOKUP($E$10,Lookups!$C$280:$D$285,2,FALSE),Lookups!$H$30:$J$242,3,FALSE),$D16*VLOOKUP($C16&amp;"|"&amp;VLOOKUP('Stage 2'!$E$12,Lookups!$C$289:$D$290,2,FALSE)&amp;"|"&amp;VLOOKUP('Stage 2'!$E$11,Lookups!$C$246:$E$268,3,FALSE)&amp;"|"&amp;"DrainedArGr",Lookups!$H$30:$J$242,3,FALSE))),IFERROR($D16*VLOOKUP($C16&amp;"|"&amp;VLOOKUP('Stage 2'!$E$11,Lookups!$C$246:$E$268,3,FALSE),Lookups!$K$30:$M$234,3,FALSE),$D16*VLOOKUP($C16,Lookups!$D$30:$O$234,12,FALSE)))))</f>
        <v/>
      </c>
      <c r="G16" s="157"/>
      <c r="H16" s="158"/>
      <c r="I16" s="158"/>
      <c r="J16" s="158"/>
    </row>
    <row r="17" spans="1:10">
      <c r="A17" s="134"/>
      <c r="B17" s="1"/>
      <c r="C17" s="104"/>
      <c r="D17" s="105"/>
      <c r="E17" s="175" t="str">
        <f>IF(OR(ISBLANK($C17),ISBLANK($D17),ISBLANK($E$10),ISBLANK($E$11)),"",IFERROR($D17*VLOOKUP((IF(OR($C17="Residential urban land",$C17="Commercial/industrial urban land",$C17="Open urban land",$C17="Greenspace",$C17="Community food growing",$C17="Woodland",$C17="Shrub", $C17="Water"), "|||"&amp;$C17, (VLOOKUP('Stage 2'!$E$9,Lookups!$C$272:$D$275,2,FALSE)&amp;"|"&amp;$C17&amp;"|"&amp;VLOOKUP('Stage 2'!$E$12,Lookups!$C$289:$D$290,2,FALSE)&amp;"|"&amp;VLOOKUP('Stage 2'!$E$11,Lookups!$C$246:$E$268,3,FALSE)&amp;"|"&amp;VLOOKUP($E$10,Lookups!$C$280:$D$285,2,FALSE)))),Lookups!$H$30:$J$242,2,FALSE),
IFERROR(IFERROR($D17*VLOOKUP($C17&amp;"|"&amp;VLOOKUP('Stage 2'!$E$12,Lookups!$C$289:$D$290,2,FALSE)&amp;"|"&amp;VLOOKUP('Stage 2'!$E$11,Lookups!$C$246:$E$268,3,FALSE)&amp;"|"&amp;VLOOKUP($E$10,Lookups!$C$280:$D$285,2,FALSE),Lookups!$H$30:$J$242,2,FALSE),IFERROR($D17*VLOOKUP($C17&amp;"|"&amp;"TRUE"&amp;"|"&amp;VLOOKUP('Stage 2'!$E$11,Lookups!$C$246:$E$268,3,FALSE)&amp;"|"&amp;VLOOKUP($E$10,Lookups!$C$280:$D$285,2,FALSE),Lookups!$H$30:$J$242,2,FALSE),$D17*VLOOKUP($C17&amp;"|"&amp;VLOOKUP('Stage 2'!$E$12,Lookups!$C$289:$D$290,2,FALSE)&amp;"|"&amp;VLOOKUP('Stage 2'!$E$11,Lookups!$C$246:$E$268,3,FALSE)&amp;"|"&amp;"DrainedArGr",Lookups!$H$30:$J$242,2,FALSE))),IFERROR($D17*VLOOKUP($C17&amp;"|"&amp;VLOOKUP('Stage 2'!$E$11,Lookups!$C$246:$E$268,3,FALSE),Lookups!$K$30:$M$234,2,FALSE),$D17*VLOOKUP($C17,Lookups!$D$30:$O$234,11,FALSE)))))</f>
        <v/>
      </c>
      <c r="F17" s="174" t="str">
        <f>IF(OR(ISBLANK($C17),ISBLANK($D17),ISBLANK($E$10),ISBLANK($E$11)),"",IFERROR($D17*VLOOKUP((IF(OR($C17="Residential urban land",$C17="Commercial/industrial urban land",$C17="Open urban land",$C17="Greenspace",$C17="Community food growing",$C17="Woodland",$C17="Shrub", $C17="Water"), "|||"&amp;$C17, (VLOOKUP('Stage 2'!$E$9,Lookups!$C$272:$D$275,2,FALSE)&amp;"|"&amp;$C17&amp;"|"&amp;VLOOKUP('Stage 2'!$E$12,Lookups!$C$289:$D$290,2,FALSE)&amp;"|"&amp;VLOOKUP('Stage 2'!$E$11,Lookups!$C$246:$E$268,3,FALSE)&amp;"|"&amp;VLOOKUP($E$10,Lookups!$C$280:$D$285,2,FALSE)))),Lookups!$H$30:$J$242,3,FALSE),
IFERROR(IFERROR($D17*VLOOKUP($C17&amp;"|"&amp;VLOOKUP('Stage 2'!$E$12,Lookups!$C$289:$D$290,2,FALSE)&amp;"|"&amp;VLOOKUP('Stage 2'!$E$11,Lookups!$C$246:$E$268,3,FALSE)&amp;"|"&amp;VLOOKUP($E$10,Lookups!$C$280:$D$285,2,FALSE),Lookups!$H$30:$J$242,3,FALSE),IFERROR($D17*VLOOKUP($C17&amp;"|"&amp;"TRUE"&amp;"|"&amp;VLOOKUP('Stage 2'!$E$11,Lookups!$C$246:$E$268,3,FALSE)&amp;"|"&amp;VLOOKUP($E$10,Lookups!$C$280:$D$285,2,FALSE),Lookups!$H$30:$J$242,3,FALSE),$D17*VLOOKUP($C17&amp;"|"&amp;VLOOKUP('Stage 2'!$E$12,Lookups!$C$289:$D$290,2,FALSE)&amp;"|"&amp;VLOOKUP('Stage 2'!$E$11,Lookups!$C$246:$E$268,3,FALSE)&amp;"|"&amp;"DrainedArGr",Lookups!$H$30:$J$242,3,FALSE))),IFERROR($D17*VLOOKUP($C17&amp;"|"&amp;VLOOKUP('Stage 2'!$E$11,Lookups!$C$246:$E$268,3,FALSE),Lookups!$K$30:$M$234,3,FALSE),$D17*VLOOKUP($C17,Lookups!$D$30:$O$234,12,FALSE)))))</f>
        <v/>
      </c>
      <c r="G17" s="157"/>
      <c r="H17" s="158"/>
      <c r="I17" s="158"/>
      <c r="J17" s="158"/>
    </row>
    <row r="18" spans="1:10">
      <c r="A18" s="134"/>
      <c r="B18" s="1"/>
      <c r="C18" s="104"/>
      <c r="D18" s="105"/>
      <c r="E18" s="175" t="str">
        <f>IF(OR(ISBLANK($C18),ISBLANK($D18),ISBLANK($E$10),ISBLANK($E$11)),"",IFERROR($D18*VLOOKUP((IF(OR($C18="Residential urban land",$C18="Commercial/industrial urban land",$C18="Open urban land",$C18="Greenspace",$C18="Community food growing",$C18="Woodland",$C18="Shrub", $C18="Water"), "|||"&amp;$C18, (VLOOKUP('Stage 2'!$E$9,Lookups!$C$272:$D$275,2,FALSE)&amp;"|"&amp;$C18&amp;"|"&amp;VLOOKUP('Stage 2'!$E$12,Lookups!$C$289:$D$290,2,FALSE)&amp;"|"&amp;VLOOKUP('Stage 2'!$E$11,Lookups!$C$246:$E$268,3,FALSE)&amp;"|"&amp;VLOOKUP($E$10,Lookups!$C$280:$D$285,2,FALSE)))),Lookups!$H$30:$J$242,2,FALSE),
IFERROR(IFERROR($D18*VLOOKUP($C18&amp;"|"&amp;VLOOKUP('Stage 2'!$E$12,Lookups!$C$289:$D$290,2,FALSE)&amp;"|"&amp;VLOOKUP('Stage 2'!$E$11,Lookups!$C$246:$E$268,3,FALSE)&amp;"|"&amp;VLOOKUP($E$10,Lookups!$C$280:$D$285,2,FALSE),Lookups!$H$30:$J$242,2,FALSE),IFERROR($D18*VLOOKUP($C18&amp;"|"&amp;"TRUE"&amp;"|"&amp;VLOOKUP('Stage 2'!$E$11,Lookups!$C$246:$E$268,3,FALSE)&amp;"|"&amp;VLOOKUP($E$10,Lookups!$C$280:$D$285,2,FALSE),Lookups!$H$30:$J$242,2,FALSE),$D18*VLOOKUP($C18&amp;"|"&amp;VLOOKUP('Stage 2'!$E$12,Lookups!$C$289:$D$290,2,FALSE)&amp;"|"&amp;VLOOKUP('Stage 2'!$E$11,Lookups!$C$246:$E$268,3,FALSE)&amp;"|"&amp;"DrainedArGr",Lookups!$H$30:$J$242,2,FALSE))),IFERROR($D18*VLOOKUP($C18&amp;"|"&amp;VLOOKUP('Stage 2'!$E$11,Lookups!$C$246:$E$268,3,FALSE),Lookups!$K$30:$M$234,2,FALSE),$D18*VLOOKUP($C18,Lookups!$D$30:$O$234,11,FALSE)))))</f>
        <v/>
      </c>
      <c r="F18" s="174" t="str">
        <f>IF(OR(ISBLANK($C18),ISBLANK($D18),ISBLANK($E$10),ISBLANK($E$11)),"",IFERROR($D18*VLOOKUP((IF(OR($C18="Residential urban land",$C18="Commercial/industrial urban land",$C18="Open urban land",$C18="Greenspace",$C18="Community food growing",$C18="Woodland",$C18="Shrub", $C18="Water"), "|||"&amp;$C18, (VLOOKUP('Stage 2'!$E$9,Lookups!$C$272:$D$275,2,FALSE)&amp;"|"&amp;$C18&amp;"|"&amp;VLOOKUP('Stage 2'!$E$12,Lookups!$C$289:$D$290,2,FALSE)&amp;"|"&amp;VLOOKUP('Stage 2'!$E$11,Lookups!$C$246:$E$268,3,FALSE)&amp;"|"&amp;VLOOKUP($E$10,Lookups!$C$280:$D$285,2,FALSE)))),Lookups!$H$30:$J$242,3,FALSE),
IFERROR(IFERROR($D18*VLOOKUP($C18&amp;"|"&amp;VLOOKUP('Stage 2'!$E$12,Lookups!$C$289:$D$290,2,FALSE)&amp;"|"&amp;VLOOKUP('Stage 2'!$E$11,Lookups!$C$246:$E$268,3,FALSE)&amp;"|"&amp;VLOOKUP($E$10,Lookups!$C$280:$D$285,2,FALSE),Lookups!$H$30:$J$242,3,FALSE),IFERROR($D18*VLOOKUP($C18&amp;"|"&amp;"TRUE"&amp;"|"&amp;VLOOKUP('Stage 2'!$E$11,Lookups!$C$246:$E$268,3,FALSE)&amp;"|"&amp;VLOOKUP($E$10,Lookups!$C$280:$D$285,2,FALSE),Lookups!$H$30:$J$242,3,FALSE),$D18*VLOOKUP($C18&amp;"|"&amp;VLOOKUP('Stage 2'!$E$12,Lookups!$C$289:$D$290,2,FALSE)&amp;"|"&amp;VLOOKUP('Stage 2'!$E$11,Lookups!$C$246:$E$268,3,FALSE)&amp;"|"&amp;"DrainedArGr",Lookups!$H$30:$J$242,3,FALSE))),IFERROR($D18*VLOOKUP($C18&amp;"|"&amp;VLOOKUP('Stage 2'!$E$11,Lookups!$C$246:$E$268,3,FALSE),Lookups!$K$30:$M$234,3,FALSE),$D18*VLOOKUP($C18,Lookups!$D$30:$O$234,12,FALSE)))))</f>
        <v/>
      </c>
      <c r="G18" s="157"/>
      <c r="H18" s="158"/>
      <c r="I18" s="158"/>
      <c r="J18" s="158"/>
    </row>
    <row r="19" spans="1:10">
      <c r="A19" s="134"/>
      <c r="B19" s="1"/>
      <c r="C19" s="104"/>
      <c r="D19" s="105"/>
      <c r="E19" s="175" t="str">
        <f>IF(OR(ISBLANK($C19),ISBLANK($D19),ISBLANK($E$10),ISBLANK($E$11)),"",IFERROR($D19*VLOOKUP((IF(OR($C19="Residential urban land",$C19="Commercial/industrial urban land",$C19="Open urban land",$C19="Greenspace",$C19="Community food growing",$C19="Woodland",$C19="Shrub", $C19="Water"), "|||"&amp;$C19, (VLOOKUP('Stage 2'!$E$9,Lookups!$C$272:$D$275,2,FALSE)&amp;"|"&amp;$C19&amp;"|"&amp;VLOOKUP('Stage 2'!$E$12,Lookups!$C$289:$D$290,2,FALSE)&amp;"|"&amp;VLOOKUP('Stage 2'!$E$11,Lookups!$C$246:$E$268,3,FALSE)&amp;"|"&amp;VLOOKUP($E$10,Lookups!$C$280:$D$285,2,FALSE)))),Lookups!$H$30:$J$242,2,FALSE),
IFERROR(IFERROR($D19*VLOOKUP($C19&amp;"|"&amp;VLOOKUP('Stage 2'!$E$12,Lookups!$C$289:$D$290,2,FALSE)&amp;"|"&amp;VLOOKUP('Stage 2'!$E$11,Lookups!$C$246:$E$268,3,FALSE)&amp;"|"&amp;VLOOKUP($E$10,Lookups!$C$280:$D$285,2,FALSE),Lookups!$H$30:$J$242,2,FALSE),IFERROR($D19*VLOOKUP($C19&amp;"|"&amp;"TRUE"&amp;"|"&amp;VLOOKUP('Stage 2'!$E$11,Lookups!$C$246:$E$268,3,FALSE)&amp;"|"&amp;VLOOKUP($E$10,Lookups!$C$280:$D$285,2,FALSE),Lookups!$H$30:$J$242,2,FALSE),$D19*VLOOKUP($C19&amp;"|"&amp;VLOOKUP('Stage 2'!$E$12,Lookups!$C$289:$D$290,2,FALSE)&amp;"|"&amp;VLOOKUP('Stage 2'!$E$11,Lookups!$C$246:$E$268,3,FALSE)&amp;"|"&amp;"DrainedArGr",Lookups!$H$30:$J$242,2,FALSE))),IFERROR($D19*VLOOKUP($C19&amp;"|"&amp;VLOOKUP('Stage 2'!$E$11,Lookups!$C$246:$E$268,3,FALSE),Lookups!$K$30:$M$234,2,FALSE),$D19*VLOOKUP($C19,Lookups!$D$30:$O$234,11,FALSE)))))</f>
        <v/>
      </c>
      <c r="F19" s="174" t="str">
        <f>IF(OR(ISBLANK($C19),ISBLANK($D19),ISBLANK($E$10),ISBLANK($E$11)),"",IFERROR($D19*VLOOKUP((IF(OR($C19="Residential urban land",$C19="Commercial/industrial urban land",$C19="Open urban land",$C19="Greenspace",$C19="Community food growing",$C19="Woodland",$C19="Shrub", $C19="Water"), "|||"&amp;$C19, (VLOOKUP('Stage 2'!$E$9,Lookups!$C$272:$D$275,2,FALSE)&amp;"|"&amp;$C19&amp;"|"&amp;VLOOKUP('Stage 2'!$E$12,Lookups!$C$289:$D$290,2,FALSE)&amp;"|"&amp;VLOOKUP('Stage 2'!$E$11,Lookups!$C$246:$E$268,3,FALSE)&amp;"|"&amp;VLOOKUP($E$10,Lookups!$C$280:$D$285,2,FALSE)))),Lookups!$H$30:$J$242,3,FALSE),
IFERROR(IFERROR($D19*VLOOKUP($C19&amp;"|"&amp;VLOOKUP('Stage 2'!$E$12,Lookups!$C$289:$D$290,2,FALSE)&amp;"|"&amp;VLOOKUP('Stage 2'!$E$11,Lookups!$C$246:$E$268,3,FALSE)&amp;"|"&amp;VLOOKUP($E$10,Lookups!$C$280:$D$285,2,FALSE),Lookups!$H$30:$J$242,3,FALSE),IFERROR($D19*VLOOKUP($C19&amp;"|"&amp;"TRUE"&amp;"|"&amp;VLOOKUP('Stage 2'!$E$11,Lookups!$C$246:$E$268,3,FALSE)&amp;"|"&amp;VLOOKUP($E$10,Lookups!$C$280:$D$285,2,FALSE),Lookups!$H$30:$J$242,3,FALSE),$D19*VLOOKUP($C19&amp;"|"&amp;VLOOKUP('Stage 2'!$E$12,Lookups!$C$289:$D$290,2,FALSE)&amp;"|"&amp;VLOOKUP('Stage 2'!$E$11,Lookups!$C$246:$E$268,3,FALSE)&amp;"|"&amp;"DrainedArGr",Lookups!$H$30:$J$242,3,FALSE))),IFERROR($D19*VLOOKUP($C19&amp;"|"&amp;VLOOKUP('Stage 2'!$E$11,Lookups!$C$246:$E$268,3,FALSE),Lookups!$K$30:$M$234,3,FALSE),$D19*VLOOKUP($C19,Lookups!$D$30:$O$234,12,FALSE)))))</f>
        <v/>
      </c>
      <c r="G19" s="157"/>
      <c r="H19" s="158"/>
      <c r="I19" s="158"/>
      <c r="J19" s="158"/>
    </row>
    <row r="20" spans="1:10">
      <c r="A20" s="134"/>
      <c r="B20" s="1"/>
      <c r="C20" s="104"/>
      <c r="D20" s="105"/>
      <c r="E20" s="175" t="str">
        <f>IF(OR(ISBLANK($C20),ISBLANK($D20),ISBLANK($E$10),ISBLANK($E$11)),"",IFERROR($D20*VLOOKUP((IF(OR($C20="Residential urban land",$C20="Commercial/industrial urban land",$C20="Open urban land",$C20="Greenspace",$C20="Community food growing",$C20="Woodland",$C20="Shrub", $C20="Water"), "|||"&amp;$C20, (VLOOKUP('Stage 2'!$E$9,Lookups!$C$272:$D$275,2,FALSE)&amp;"|"&amp;$C20&amp;"|"&amp;VLOOKUP('Stage 2'!$E$12,Lookups!$C$289:$D$290,2,FALSE)&amp;"|"&amp;VLOOKUP('Stage 2'!$E$11,Lookups!$C$246:$E$268,3,FALSE)&amp;"|"&amp;VLOOKUP($E$10,Lookups!$C$280:$D$285,2,FALSE)))),Lookups!$H$30:$J$242,2,FALSE),
IFERROR(IFERROR($D20*VLOOKUP($C20&amp;"|"&amp;VLOOKUP('Stage 2'!$E$12,Lookups!$C$289:$D$290,2,FALSE)&amp;"|"&amp;VLOOKUP('Stage 2'!$E$11,Lookups!$C$246:$E$268,3,FALSE)&amp;"|"&amp;VLOOKUP($E$10,Lookups!$C$280:$D$285,2,FALSE),Lookups!$H$30:$J$242,2,FALSE),IFERROR($D20*VLOOKUP($C20&amp;"|"&amp;"TRUE"&amp;"|"&amp;VLOOKUP('Stage 2'!$E$11,Lookups!$C$246:$E$268,3,FALSE)&amp;"|"&amp;VLOOKUP($E$10,Lookups!$C$280:$D$285,2,FALSE),Lookups!$H$30:$J$242,2,FALSE),$D20*VLOOKUP($C20&amp;"|"&amp;VLOOKUP('Stage 2'!$E$12,Lookups!$C$289:$D$290,2,FALSE)&amp;"|"&amp;VLOOKUP('Stage 2'!$E$11,Lookups!$C$246:$E$268,3,FALSE)&amp;"|"&amp;"DrainedArGr",Lookups!$H$30:$J$242,2,FALSE))),IFERROR($D20*VLOOKUP($C20&amp;"|"&amp;VLOOKUP('Stage 2'!$E$11,Lookups!$C$246:$E$268,3,FALSE),Lookups!$K$30:$M$234,2,FALSE),$D20*VLOOKUP($C20,Lookups!$D$30:$O$234,11,FALSE)))))</f>
        <v/>
      </c>
      <c r="F20" s="174" t="str">
        <f>IF(OR(ISBLANK($C20),ISBLANK($D20),ISBLANK($E$10),ISBLANK($E$11)),"",IFERROR($D20*VLOOKUP((IF(OR($C20="Residential urban land",$C20="Commercial/industrial urban land",$C20="Open urban land",$C20="Greenspace",$C20="Community food growing",$C20="Woodland",$C20="Shrub", $C20="Water"), "|||"&amp;$C20, (VLOOKUP('Stage 2'!$E$9,Lookups!$C$272:$D$275,2,FALSE)&amp;"|"&amp;$C20&amp;"|"&amp;VLOOKUP('Stage 2'!$E$12,Lookups!$C$289:$D$290,2,FALSE)&amp;"|"&amp;VLOOKUP('Stage 2'!$E$11,Lookups!$C$246:$E$268,3,FALSE)&amp;"|"&amp;VLOOKUP($E$10,Lookups!$C$280:$D$285,2,FALSE)))),Lookups!$H$30:$J$242,3,FALSE),
IFERROR(IFERROR($D20*VLOOKUP($C20&amp;"|"&amp;VLOOKUP('Stage 2'!$E$12,Lookups!$C$289:$D$290,2,FALSE)&amp;"|"&amp;VLOOKUP('Stage 2'!$E$11,Lookups!$C$246:$E$268,3,FALSE)&amp;"|"&amp;VLOOKUP($E$10,Lookups!$C$280:$D$285,2,FALSE),Lookups!$H$30:$J$242,3,FALSE),IFERROR($D20*VLOOKUP($C20&amp;"|"&amp;"TRUE"&amp;"|"&amp;VLOOKUP('Stage 2'!$E$11,Lookups!$C$246:$E$268,3,FALSE)&amp;"|"&amp;VLOOKUP($E$10,Lookups!$C$280:$D$285,2,FALSE),Lookups!$H$30:$J$242,3,FALSE),$D20*VLOOKUP($C20&amp;"|"&amp;VLOOKUP('Stage 2'!$E$12,Lookups!$C$289:$D$290,2,FALSE)&amp;"|"&amp;VLOOKUP('Stage 2'!$E$11,Lookups!$C$246:$E$268,3,FALSE)&amp;"|"&amp;"DrainedArGr",Lookups!$H$30:$J$242,3,FALSE))),IFERROR($D20*VLOOKUP($C20&amp;"|"&amp;VLOOKUP('Stage 2'!$E$11,Lookups!$C$246:$E$268,3,FALSE),Lookups!$K$30:$M$234,3,FALSE),$D20*VLOOKUP($C20,Lookups!$D$30:$O$234,12,FALSE)))))</f>
        <v/>
      </c>
      <c r="G20" s="157"/>
      <c r="H20" s="158"/>
      <c r="I20" s="158"/>
      <c r="J20" s="158"/>
    </row>
    <row r="21" spans="1:10">
      <c r="A21" s="134"/>
      <c r="B21" s="1"/>
      <c r="C21" s="104"/>
      <c r="D21" s="105"/>
      <c r="E21" s="175" t="str">
        <f>IF(OR(ISBLANK($C21),ISBLANK($D21),ISBLANK($E$10),ISBLANK($E$11)),"",IFERROR($D21*VLOOKUP((IF(OR($C21="Residential urban land",$C21="Commercial/industrial urban land",$C21="Open urban land",$C21="Greenspace",$C21="Community food growing",$C21="Woodland",$C21="Shrub", $C21="Water"), "|||"&amp;$C21, (VLOOKUP('Stage 2'!$E$9,Lookups!$C$272:$D$275,2,FALSE)&amp;"|"&amp;$C21&amp;"|"&amp;VLOOKUP('Stage 2'!$E$12,Lookups!$C$289:$D$290,2,FALSE)&amp;"|"&amp;VLOOKUP('Stage 2'!$E$11,Lookups!$C$246:$E$268,3,FALSE)&amp;"|"&amp;VLOOKUP($E$10,Lookups!$C$280:$D$285,2,FALSE)))),Lookups!$H$30:$J$242,2,FALSE),
IFERROR(IFERROR($D21*VLOOKUP($C21&amp;"|"&amp;VLOOKUP('Stage 2'!$E$12,Lookups!$C$289:$D$290,2,FALSE)&amp;"|"&amp;VLOOKUP('Stage 2'!$E$11,Lookups!$C$246:$E$268,3,FALSE)&amp;"|"&amp;VLOOKUP($E$10,Lookups!$C$280:$D$285,2,FALSE),Lookups!$H$30:$J$242,2,FALSE),IFERROR($D21*VLOOKUP($C21&amp;"|"&amp;"TRUE"&amp;"|"&amp;VLOOKUP('Stage 2'!$E$11,Lookups!$C$246:$E$268,3,FALSE)&amp;"|"&amp;VLOOKUP($E$10,Lookups!$C$280:$D$285,2,FALSE),Lookups!$H$30:$J$242,2,FALSE),$D21*VLOOKUP($C21&amp;"|"&amp;VLOOKUP('Stage 2'!$E$12,Lookups!$C$289:$D$290,2,FALSE)&amp;"|"&amp;VLOOKUP('Stage 2'!$E$11,Lookups!$C$246:$E$268,3,FALSE)&amp;"|"&amp;"DrainedArGr",Lookups!$H$30:$J$242,2,FALSE))),IFERROR($D21*VLOOKUP($C21&amp;"|"&amp;VLOOKUP('Stage 2'!$E$11,Lookups!$C$246:$E$268,3,FALSE),Lookups!$K$30:$M$234,2,FALSE),$D21*VLOOKUP($C21,Lookups!$D$30:$O$234,11,FALSE)))))</f>
        <v/>
      </c>
      <c r="F21" s="174" t="str">
        <f>IF(OR(ISBLANK($C21),ISBLANK($D21),ISBLANK($E$10),ISBLANK($E$11)),"",IFERROR($D21*VLOOKUP((IF(OR($C21="Residential urban land",$C21="Commercial/industrial urban land",$C21="Open urban land",$C21="Greenspace",$C21="Community food growing",$C21="Woodland",$C21="Shrub", $C21="Water"), "|||"&amp;$C21, (VLOOKUP('Stage 2'!$E$9,Lookups!$C$272:$D$275,2,FALSE)&amp;"|"&amp;$C21&amp;"|"&amp;VLOOKUP('Stage 2'!$E$12,Lookups!$C$289:$D$290,2,FALSE)&amp;"|"&amp;VLOOKUP('Stage 2'!$E$11,Lookups!$C$246:$E$268,3,FALSE)&amp;"|"&amp;VLOOKUP($E$10,Lookups!$C$280:$D$285,2,FALSE)))),Lookups!$H$30:$J$242,3,FALSE),
IFERROR(IFERROR($D21*VLOOKUP($C21&amp;"|"&amp;VLOOKUP('Stage 2'!$E$12,Lookups!$C$289:$D$290,2,FALSE)&amp;"|"&amp;VLOOKUP('Stage 2'!$E$11,Lookups!$C$246:$E$268,3,FALSE)&amp;"|"&amp;VLOOKUP($E$10,Lookups!$C$280:$D$285,2,FALSE),Lookups!$H$30:$J$242,3,FALSE),IFERROR($D21*VLOOKUP($C21&amp;"|"&amp;"TRUE"&amp;"|"&amp;VLOOKUP('Stage 2'!$E$11,Lookups!$C$246:$E$268,3,FALSE)&amp;"|"&amp;VLOOKUP($E$10,Lookups!$C$280:$D$285,2,FALSE),Lookups!$H$30:$J$242,3,FALSE),$D21*VLOOKUP($C21&amp;"|"&amp;VLOOKUP('Stage 2'!$E$12,Lookups!$C$289:$D$290,2,FALSE)&amp;"|"&amp;VLOOKUP('Stage 2'!$E$11,Lookups!$C$246:$E$268,3,FALSE)&amp;"|"&amp;"DrainedArGr",Lookups!$H$30:$J$242,3,FALSE))),IFERROR($D21*VLOOKUP($C21&amp;"|"&amp;VLOOKUP('Stage 2'!$E$11,Lookups!$C$246:$E$268,3,FALSE),Lookups!$K$30:$M$234,3,FALSE),$D21*VLOOKUP($C21,Lookups!$D$30:$O$234,12,FALSE)))))</f>
        <v/>
      </c>
      <c r="G21" s="151"/>
    </row>
    <row r="22" spans="1:10">
      <c r="A22" s="134"/>
      <c r="B22" s="1"/>
      <c r="C22" s="104"/>
      <c r="D22" s="105"/>
      <c r="E22" s="175" t="str">
        <f>IF(OR(ISBLANK($C22),ISBLANK($D22),ISBLANK($E$10),ISBLANK($E$11)),"",IFERROR($D22*VLOOKUP((IF(OR($C22="Residential urban land",$C22="Commercial/industrial urban land",$C22="Open urban land",$C22="Greenspace",$C22="Community food growing",$C22="Woodland",$C22="Shrub", $C22="Water"), "|||"&amp;$C22, (VLOOKUP('Stage 2'!$E$9,Lookups!$C$272:$D$275,2,FALSE)&amp;"|"&amp;$C22&amp;"|"&amp;VLOOKUP('Stage 2'!$E$12,Lookups!$C$289:$D$290,2,FALSE)&amp;"|"&amp;VLOOKUP('Stage 2'!$E$11,Lookups!$C$246:$E$268,3,FALSE)&amp;"|"&amp;VLOOKUP($E$10,Lookups!$C$280:$D$285,2,FALSE)))),Lookups!$H$30:$J$242,2,FALSE),
IFERROR(IFERROR($D22*VLOOKUP($C22&amp;"|"&amp;VLOOKUP('Stage 2'!$E$12,Lookups!$C$289:$D$290,2,FALSE)&amp;"|"&amp;VLOOKUP('Stage 2'!$E$11,Lookups!$C$246:$E$268,3,FALSE)&amp;"|"&amp;VLOOKUP($E$10,Lookups!$C$280:$D$285,2,FALSE),Lookups!$H$30:$J$242,2,FALSE),IFERROR($D22*VLOOKUP($C22&amp;"|"&amp;"TRUE"&amp;"|"&amp;VLOOKUP('Stage 2'!$E$11,Lookups!$C$246:$E$268,3,FALSE)&amp;"|"&amp;VLOOKUP($E$10,Lookups!$C$280:$D$285,2,FALSE),Lookups!$H$30:$J$242,2,FALSE),$D22*VLOOKUP($C22&amp;"|"&amp;VLOOKUP('Stage 2'!$E$12,Lookups!$C$289:$D$290,2,FALSE)&amp;"|"&amp;VLOOKUP('Stage 2'!$E$11,Lookups!$C$246:$E$268,3,FALSE)&amp;"|"&amp;"DrainedArGr",Lookups!$H$30:$J$242,2,FALSE))),IFERROR($D22*VLOOKUP($C22&amp;"|"&amp;VLOOKUP('Stage 2'!$E$11,Lookups!$C$246:$E$268,3,FALSE),Lookups!$K$30:$M$234,2,FALSE),$D22*VLOOKUP($C22,Lookups!$D$30:$O$234,11,FALSE)))))</f>
        <v/>
      </c>
      <c r="F22" s="174" t="str">
        <f>IF(OR(ISBLANK($C22),ISBLANK($D22),ISBLANK($E$10),ISBLANK($E$11)),"",IFERROR($D22*VLOOKUP((IF(OR($C22="Residential urban land",$C22="Commercial/industrial urban land",$C22="Open urban land",$C22="Greenspace",$C22="Community food growing",$C22="Woodland",$C22="Shrub", $C22="Water"), "|||"&amp;$C22, (VLOOKUP('Stage 2'!$E$9,Lookups!$C$272:$D$275,2,FALSE)&amp;"|"&amp;$C22&amp;"|"&amp;VLOOKUP('Stage 2'!$E$12,Lookups!$C$289:$D$290,2,FALSE)&amp;"|"&amp;VLOOKUP('Stage 2'!$E$11,Lookups!$C$246:$E$268,3,FALSE)&amp;"|"&amp;VLOOKUP($E$10,Lookups!$C$280:$D$285,2,FALSE)))),Lookups!$H$30:$J$242,3,FALSE),
IFERROR(IFERROR($D22*VLOOKUP($C22&amp;"|"&amp;VLOOKUP('Stage 2'!$E$12,Lookups!$C$289:$D$290,2,FALSE)&amp;"|"&amp;VLOOKUP('Stage 2'!$E$11,Lookups!$C$246:$E$268,3,FALSE)&amp;"|"&amp;VLOOKUP($E$10,Lookups!$C$280:$D$285,2,FALSE),Lookups!$H$30:$J$242,3,FALSE),IFERROR($D22*VLOOKUP($C22&amp;"|"&amp;"TRUE"&amp;"|"&amp;VLOOKUP('Stage 2'!$E$11,Lookups!$C$246:$E$268,3,FALSE)&amp;"|"&amp;VLOOKUP($E$10,Lookups!$C$280:$D$285,2,FALSE),Lookups!$H$30:$J$242,3,FALSE),$D22*VLOOKUP($C22&amp;"|"&amp;VLOOKUP('Stage 2'!$E$12,Lookups!$C$289:$D$290,2,FALSE)&amp;"|"&amp;VLOOKUP('Stage 2'!$E$11,Lookups!$C$246:$E$268,3,FALSE)&amp;"|"&amp;"DrainedArGr",Lookups!$H$30:$J$242,3,FALSE))),IFERROR($D22*VLOOKUP($C22&amp;"|"&amp;VLOOKUP('Stage 2'!$E$11,Lookups!$C$246:$E$268,3,FALSE),Lookups!$K$30:$M$234,3,FALSE),$D22*VLOOKUP($C22,Lookups!$D$30:$O$234,12,FALSE)))))</f>
        <v/>
      </c>
      <c r="G22" s="151"/>
    </row>
    <row r="23" spans="1:10">
      <c r="A23" s="134"/>
      <c r="B23" s="1"/>
      <c r="C23" s="104"/>
      <c r="D23" s="105"/>
      <c r="E23" s="175" t="str">
        <f>IF(OR(ISBLANK($C23),ISBLANK($D23),ISBLANK($E$10),ISBLANK($E$11)),"",IFERROR($D23*VLOOKUP((IF(OR($C23="Residential urban land",$C23="Commercial/industrial urban land",$C23="Open urban land",$C23="Greenspace",$C23="Community food growing",$C23="Woodland",$C23="Shrub", $C23="Water"), "|||"&amp;$C23, (VLOOKUP('Stage 2'!$E$9,Lookups!$C$272:$D$275,2,FALSE)&amp;"|"&amp;$C23&amp;"|"&amp;VLOOKUP('Stage 2'!$E$12,Lookups!$C$289:$D$290,2,FALSE)&amp;"|"&amp;VLOOKUP('Stage 2'!$E$11,Lookups!$C$246:$E$268,3,FALSE)&amp;"|"&amp;VLOOKUP($E$10,Lookups!$C$280:$D$285,2,FALSE)))),Lookups!$H$30:$J$242,2,FALSE),
IFERROR(IFERROR($D23*VLOOKUP($C23&amp;"|"&amp;VLOOKUP('Stage 2'!$E$12,Lookups!$C$289:$D$290,2,FALSE)&amp;"|"&amp;VLOOKUP('Stage 2'!$E$11,Lookups!$C$246:$E$268,3,FALSE)&amp;"|"&amp;VLOOKUP($E$10,Lookups!$C$280:$D$285,2,FALSE),Lookups!$H$30:$J$242,2,FALSE),IFERROR($D23*VLOOKUP($C23&amp;"|"&amp;"TRUE"&amp;"|"&amp;VLOOKUP('Stage 2'!$E$11,Lookups!$C$246:$E$268,3,FALSE)&amp;"|"&amp;VLOOKUP($E$10,Lookups!$C$280:$D$285,2,FALSE),Lookups!$H$30:$J$242,2,FALSE),$D23*VLOOKUP($C23&amp;"|"&amp;VLOOKUP('Stage 2'!$E$12,Lookups!$C$289:$D$290,2,FALSE)&amp;"|"&amp;VLOOKUP('Stage 2'!$E$11,Lookups!$C$246:$E$268,3,FALSE)&amp;"|"&amp;"DrainedArGr",Lookups!$H$30:$J$242,2,FALSE))),IFERROR($D23*VLOOKUP($C23&amp;"|"&amp;VLOOKUP('Stage 2'!$E$11,Lookups!$C$246:$E$268,3,FALSE),Lookups!$K$30:$M$234,2,FALSE),$D23*VLOOKUP($C23,Lookups!$D$30:$O$234,11,FALSE)))))</f>
        <v/>
      </c>
      <c r="F23" s="174" t="str">
        <f>IF(OR(ISBLANK($C23),ISBLANK($D23),ISBLANK($E$10),ISBLANK($E$11)),"",IFERROR($D23*VLOOKUP((IF(OR($C23="Residential urban land",$C23="Commercial/industrial urban land",$C23="Open urban land",$C23="Greenspace",$C23="Community food growing",$C23="Woodland",$C23="Shrub", $C23="Water"), "|||"&amp;$C23, (VLOOKUP('Stage 2'!$E$9,Lookups!$C$272:$D$275,2,FALSE)&amp;"|"&amp;$C23&amp;"|"&amp;VLOOKUP('Stage 2'!$E$12,Lookups!$C$289:$D$290,2,FALSE)&amp;"|"&amp;VLOOKUP('Stage 2'!$E$11,Lookups!$C$246:$E$268,3,FALSE)&amp;"|"&amp;VLOOKUP($E$10,Lookups!$C$280:$D$285,2,FALSE)))),Lookups!$H$30:$J$242,3,FALSE),
IFERROR(IFERROR($D23*VLOOKUP($C23&amp;"|"&amp;VLOOKUP('Stage 2'!$E$12,Lookups!$C$289:$D$290,2,FALSE)&amp;"|"&amp;VLOOKUP('Stage 2'!$E$11,Lookups!$C$246:$E$268,3,FALSE)&amp;"|"&amp;VLOOKUP($E$10,Lookups!$C$280:$D$285,2,FALSE),Lookups!$H$30:$J$242,3,FALSE),IFERROR($D23*VLOOKUP($C23&amp;"|"&amp;"TRUE"&amp;"|"&amp;VLOOKUP('Stage 2'!$E$11,Lookups!$C$246:$E$268,3,FALSE)&amp;"|"&amp;VLOOKUP($E$10,Lookups!$C$280:$D$285,2,FALSE),Lookups!$H$30:$J$242,3,FALSE),$D23*VLOOKUP($C23&amp;"|"&amp;VLOOKUP('Stage 2'!$E$12,Lookups!$C$289:$D$290,2,FALSE)&amp;"|"&amp;VLOOKUP('Stage 2'!$E$11,Lookups!$C$246:$E$268,3,FALSE)&amp;"|"&amp;"DrainedArGr",Lookups!$H$30:$J$242,3,FALSE))),IFERROR($D23*VLOOKUP($C23&amp;"|"&amp;VLOOKUP('Stage 2'!$E$11,Lookups!$C$246:$E$268,3,FALSE),Lookups!$K$30:$M$234,3,FALSE),$D23*VLOOKUP($C23,Lookups!$D$30:$O$234,12,FALSE)))))</f>
        <v/>
      </c>
      <c r="G23" s="151"/>
    </row>
    <row r="24" spans="1:10">
      <c r="A24" s="134"/>
      <c r="B24" s="1"/>
      <c r="C24" s="104"/>
      <c r="D24" s="105"/>
      <c r="E24" s="175" t="str">
        <f>IF(OR(ISBLANK($C24),ISBLANK($D24),ISBLANK($E$10),ISBLANK($E$11)),"",IFERROR($D24*VLOOKUP((IF(OR($C24="Residential urban land",$C24="Commercial/industrial urban land",$C24="Open urban land",$C24="Greenspace",$C24="Community food growing",$C24="Woodland",$C24="Shrub", $C24="Water"), "|||"&amp;$C24, (VLOOKUP('Stage 2'!$E$9,Lookups!$C$272:$D$275,2,FALSE)&amp;"|"&amp;$C24&amp;"|"&amp;VLOOKUP('Stage 2'!$E$12,Lookups!$C$289:$D$290,2,FALSE)&amp;"|"&amp;VLOOKUP('Stage 2'!$E$11,Lookups!$C$246:$E$268,3,FALSE)&amp;"|"&amp;VLOOKUP($E$10,Lookups!$C$280:$D$285,2,FALSE)))),Lookups!$H$30:$J$242,2,FALSE),
IFERROR(IFERROR($D24*VLOOKUP($C24&amp;"|"&amp;VLOOKUP('Stage 2'!$E$12,Lookups!$C$289:$D$290,2,FALSE)&amp;"|"&amp;VLOOKUP('Stage 2'!$E$11,Lookups!$C$246:$E$268,3,FALSE)&amp;"|"&amp;VLOOKUP($E$10,Lookups!$C$280:$D$285,2,FALSE),Lookups!$H$30:$J$242,2,FALSE),IFERROR($D24*VLOOKUP($C24&amp;"|"&amp;"TRUE"&amp;"|"&amp;VLOOKUP('Stage 2'!$E$11,Lookups!$C$246:$E$268,3,FALSE)&amp;"|"&amp;VLOOKUP($E$10,Lookups!$C$280:$D$285,2,FALSE),Lookups!$H$30:$J$242,2,FALSE),$D24*VLOOKUP($C24&amp;"|"&amp;VLOOKUP('Stage 2'!$E$12,Lookups!$C$289:$D$290,2,FALSE)&amp;"|"&amp;VLOOKUP('Stage 2'!$E$11,Lookups!$C$246:$E$268,3,FALSE)&amp;"|"&amp;"DrainedArGr",Lookups!$H$30:$J$242,2,FALSE))),IFERROR($D24*VLOOKUP($C24&amp;"|"&amp;VLOOKUP('Stage 2'!$E$11,Lookups!$C$246:$E$268,3,FALSE),Lookups!$K$30:$M$234,2,FALSE),$D24*VLOOKUP($C24,Lookups!$D$30:$O$234,11,FALSE)))))</f>
        <v/>
      </c>
      <c r="F24" s="174" t="str">
        <f>IF(OR(ISBLANK($C24),ISBLANK($D24),ISBLANK($E$10),ISBLANK($E$11)),"",IFERROR($D24*VLOOKUP((IF(OR($C24="Residential urban land",$C24="Commercial/industrial urban land",$C24="Open urban land",$C24="Greenspace",$C24="Community food growing",$C24="Woodland",$C24="Shrub", $C24="Water"), "|||"&amp;$C24, (VLOOKUP('Stage 2'!$E$9,Lookups!$C$272:$D$275,2,FALSE)&amp;"|"&amp;$C24&amp;"|"&amp;VLOOKUP('Stage 2'!$E$12,Lookups!$C$289:$D$290,2,FALSE)&amp;"|"&amp;VLOOKUP('Stage 2'!$E$11,Lookups!$C$246:$E$268,3,FALSE)&amp;"|"&amp;VLOOKUP($E$10,Lookups!$C$280:$D$285,2,FALSE)))),Lookups!$H$30:$J$242,3,FALSE),
IFERROR(IFERROR($D24*VLOOKUP($C24&amp;"|"&amp;VLOOKUP('Stage 2'!$E$12,Lookups!$C$289:$D$290,2,FALSE)&amp;"|"&amp;VLOOKUP('Stage 2'!$E$11,Lookups!$C$246:$E$268,3,FALSE)&amp;"|"&amp;VLOOKUP($E$10,Lookups!$C$280:$D$285,2,FALSE),Lookups!$H$30:$J$242,3,FALSE),IFERROR($D24*VLOOKUP($C24&amp;"|"&amp;"TRUE"&amp;"|"&amp;VLOOKUP('Stage 2'!$E$11,Lookups!$C$246:$E$268,3,FALSE)&amp;"|"&amp;VLOOKUP($E$10,Lookups!$C$280:$D$285,2,FALSE),Lookups!$H$30:$J$242,3,FALSE),$D24*VLOOKUP($C24&amp;"|"&amp;VLOOKUP('Stage 2'!$E$12,Lookups!$C$289:$D$290,2,FALSE)&amp;"|"&amp;VLOOKUP('Stage 2'!$E$11,Lookups!$C$246:$E$268,3,FALSE)&amp;"|"&amp;"DrainedArGr",Lookups!$H$30:$J$242,3,FALSE))),IFERROR($D24*VLOOKUP($C24&amp;"|"&amp;VLOOKUP('Stage 2'!$E$11,Lookups!$C$246:$E$268,3,FALSE),Lookups!$K$30:$M$234,3,FALSE),$D24*VLOOKUP($C24,Lookups!$D$30:$O$234,12,FALSE)))))</f>
        <v/>
      </c>
      <c r="G24" s="151"/>
    </row>
    <row r="25" spans="1:10">
      <c r="A25" s="134"/>
      <c r="B25" s="1"/>
      <c r="C25" s="104"/>
      <c r="D25" s="105"/>
      <c r="E25" s="175" t="str">
        <f>IF(OR(ISBLANK($C25),ISBLANK($D25),ISBLANK($E$10),ISBLANK($E$11)),"",IFERROR($D25*VLOOKUP((IF(OR($C25="Residential urban land",$C25="Commercial/industrial urban land",$C25="Open urban land",$C25="Greenspace",$C25="Community food growing",$C25="Woodland",$C25="Shrub", $C25="Water"), "|||"&amp;$C25, (VLOOKUP('Stage 2'!$E$9,Lookups!$C$272:$D$275,2,FALSE)&amp;"|"&amp;$C25&amp;"|"&amp;VLOOKUP('Stage 2'!$E$12,Lookups!$C$289:$D$290,2,FALSE)&amp;"|"&amp;VLOOKUP('Stage 2'!$E$11,Lookups!$C$246:$E$268,3,FALSE)&amp;"|"&amp;VLOOKUP($E$10,Lookups!$C$280:$D$285,2,FALSE)))),Lookups!$H$30:$J$242,2,FALSE),
IFERROR(IFERROR($D25*VLOOKUP($C25&amp;"|"&amp;VLOOKUP('Stage 2'!$E$12,Lookups!$C$289:$D$290,2,FALSE)&amp;"|"&amp;VLOOKUP('Stage 2'!$E$11,Lookups!$C$246:$E$268,3,FALSE)&amp;"|"&amp;VLOOKUP($E$10,Lookups!$C$280:$D$285,2,FALSE),Lookups!$H$30:$J$242,2,FALSE),IFERROR($D25*VLOOKUP($C25&amp;"|"&amp;"TRUE"&amp;"|"&amp;VLOOKUP('Stage 2'!$E$11,Lookups!$C$246:$E$268,3,FALSE)&amp;"|"&amp;VLOOKUP($E$10,Lookups!$C$280:$D$285,2,FALSE),Lookups!$H$30:$J$242,2,FALSE),$D25*VLOOKUP($C25&amp;"|"&amp;VLOOKUP('Stage 2'!$E$12,Lookups!$C$289:$D$290,2,FALSE)&amp;"|"&amp;VLOOKUP('Stage 2'!$E$11,Lookups!$C$246:$E$268,3,FALSE)&amp;"|"&amp;"DrainedArGr",Lookups!$H$30:$J$242,2,FALSE))),IFERROR($D25*VLOOKUP($C25&amp;"|"&amp;VLOOKUP('Stage 2'!$E$11,Lookups!$C$246:$E$268,3,FALSE),Lookups!$K$30:$M$234,2,FALSE),$D25*VLOOKUP($C25,Lookups!$D$30:$O$234,11,FALSE)))))</f>
        <v/>
      </c>
      <c r="F25" s="174" t="str">
        <f>IF(OR(ISBLANK($C25),ISBLANK($D25),ISBLANK($E$10),ISBLANK($E$11)),"",IFERROR($D25*VLOOKUP((IF(OR($C25="Residential urban land",$C25="Commercial/industrial urban land",$C25="Open urban land",$C25="Greenspace",$C25="Community food growing",$C25="Woodland",$C25="Shrub", $C25="Water"), "|||"&amp;$C25, (VLOOKUP('Stage 2'!$E$9,Lookups!$C$272:$D$275,2,FALSE)&amp;"|"&amp;$C25&amp;"|"&amp;VLOOKUP('Stage 2'!$E$12,Lookups!$C$289:$D$290,2,FALSE)&amp;"|"&amp;VLOOKUP('Stage 2'!$E$11,Lookups!$C$246:$E$268,3,FALSE)&amp;"|"&amp;VLOOKUP($E$10,Lookups!$C$280:$D$285,2,FALSE)))),Lookups!$H$30:$J$242,3,FALSE),
IFERROR(IFERROR($D25*VLOOKUP($C25&amp;"|"&amp;VLOOKUP('Stage 2'!$E$12,Lookups!$C$289:$D$290,2,FALSE)&amp;"|"&amp;VLOOKUP('Stage 2'!$E$11,Lookups!$C$246:$E$268,3,FALSE)&amp;"|"&amp;VLOOKUP($E$10,Lookups!$C$280:$D$285,2,FALSE),Lookups!$H$30:$J$242,3,FALSE),IFERROR($D25*VLOOKUP($C25&amp;"|"&amp;"TRUE"&amp;"|"&amp;VLOOKUP('Stage 2'!$E$11,Lookups!$C$246:$E$268,3,FALSE)&amp;"|"&amp;VLOOKUP($E$10,Lookups!$C$280:$D$285,2,FALSE),Lookups!$H$30:$J$242,3,FALSE),$D25*VLOOKUP($C25&amp;"|"&amp;VLOOKUP('Stage 2'!$E$12,Lookups!$C$289:$D$290,2,FALSE)&amp;"|"&amp;VLOOKUP('Stage 2'!$E$11,Lookups!$C$246:$E$268,3,FALSE)&amp;"|"&amp;"DrainedArGr",Lookups!$H$30:$J$242,3,FALSE))),IFERROR($D25*VLOOKUP($C25&amp;"|"&amp;VLOOKUP('Stage 2'!$E$11,Lookups!$C$246:$E$268,3,FALSE),Lookups!$K$30:$M$234,3,FALSE),$D25*VLOOKUP($C25,Lookups!$D$30:$O$234,12,FALSE)))))</f>
        <v/>
      </c>
      <c r="G25" s="151"/>
    </row>
    <row r="26" spans="1:10">
      <c r="A26" s="134"/>
      <c r="B26" s="1"/>
      <c r="C26" s="104"/>
      <c r="D26" s="105"/>
      <c r="E26" s="175" t="str">
        <f>IF(OR(ISBLANK($C26),ISBLANK($D26),ISBLANK($E$10),ISBLANK($E$11)),"",IFERROR($D26*VLOOKUP((IF(OR($C26="Residential urban land",$C26="Commercial/industrial urban land",$C26="Open urban land",$C26="Greenspace",$C26="Community food growing",$C26="Woodland",$C26="Shrub", $C26="Water"), "|||"&amp;$C26, (VLOOKUP('Stage 2'!$E$9,Lookups!$C$272:$D$275,2,FALSE)&amp;"|"&amp;$C26&amp;"|"&amp;VLOOKUP('Stage 2'!$E$12,Lookups!$C$289:$D$290,2,FALSE)&amp;"|"&amp;VLOOKUP('Stage 2'!$E$11,Lookups!$C$246:$E$268,3,FALSE)&amp;"|"&amp;VLOOKUP($E$10,Lookups!$C$280:$D$285,2,FALSE)))),Lookups!$H$30:$J$242,2,FALSE),
IFERROR(IFERROR($D26*VLOOKUP($C26&amp;"|"&amp;VLOOKUP('Stage 2'!$E$12,Lookups!$C$289:$D$290,2,FALSE)&amp;"|"&amp;VLOOKUP('Stage 2'!$E$11,Lookups!$C$246:$E$268,3,FALSE)&amp;"|"&amp;VLOOKUP($E$10,Lookups!$C$280:$D$285,2,FALSE),Lookups!$H$30:$J$242,2,FALSE),IFERROR($D26*VLOOKUP($C26&amp;"|"&amp;"TRUE"&amp;"|"&amp;VLOOKUP('Stage 2'!$E$11,Lookups!$C$246:$E$268,3,FALSE)&amp;"|"&amp;VLOOKUP($E$10,Lookups!$C$280:$D$285,2,FALSE),Lookups!$H$30:$J$242,2,FALSE),$D26*VLOOKUP($C26&amp;"|"&amp;VLOOKUP('Stage 2'!$E$12,Lookups!$C$289:$D$290,2,FALSE)&amp;"|"&amp;VLOOKUP('Stage 2'!$E$11,Lookups!$C$246:$E$268,3,FALSE)&amp;"|"&amp;"DrainedArGr",Lookups!$H$30:$J$242,2,FALSE))),IFERROR($D26*VLOOKUP($C26&amp;"|"&amp;VLOOKUP('Stage 2'!$E$11,Lookups!$C$246:$E$268,3,FALSE),Lookups!$K$30:$M$234,2,FALSE),$D26*VLOOKUP($C26,Lookups!$D$30:$O$234,11,FALSE)))))</f>
        <v/>
      </c>
      <c r="F26" s="174" t="str">
        <f>IF(OR(ISBLANK($C26),ISBLANK($D26),ISBLANK($E$10),ISBLANK($E$11)),"",IFERROR($D26*VLOOKUP((IF(OR($C26="Residential urban land",$C26="Commercial/industrial urban land",$C26="Open urban land",$C26="Greenspace",$C26="Community food growing",$C26="Woodland",$C26="Shrub", $C26="Water"), "|||"&amp;$C26, (VLOOKUP('Stage 2'!$E$9,Lookups!$C$272:$D$275,2,FALSE)&amp;"|"&amp;$C26&amp;"|"&amp;VLOOKUP('Stage 2'!$E$12,Lookups!$C$289:$D$290,2,FALSE)&amp;"|"&amp;VLOOKUP('Stage 2'!$E$11,Lookups!$C$246:$E$268,3,FALSE)&amp;"|"&amp;VLOOKUP($E$10,Lookups!$C$280:$D$285,2,FALSE)))),Lookups!$H$30:$J$242,3,FALSE),
IFERROR(IFERROR($D26*VLOOKUP($C26&amp;"|"&amp;VLOOKUP('Stage 2'!$E$12,Lookups!$C$289:$D$290,2,FALSE)&amp;"|"&amp;VLOOKUP('Stage 2'!$E$11,Lookups!$C$246:$E$268,3,FALSE)&amp;"|"&amp;VLOOKUP($E$10,Lookups!$C$280:$D$285,2,FALSE),Lookups!$H$30:$J$242,3,FALSE),IFERROR($D26*VLOOKUP($C26&amp;"|"&amp;"TRUE"&amp;"|"&amp;VLOOKUP('Stage 2'!$E$11,Lookups!$C$246:$E$268,3,FALSE)&amp;"|"&amp;VLOOKUP($E$10,Lookups!$C$280:$D$285,2,FALSE),Lookups!$H$30:$J$242,3,FALSE),$D26*VLOOKUP($C26&amp;"|"&amp;VLOOKUP('Stage 2'!$E$12,Lookups!$C$289:$D$290,2,FALSE)&amp;"|"&amp;VLOOKUP('Stage 2'!$E$11,Lookups!$C$246:$E$268,3,FALSE)&amp;"|"&amp;"DrainedArGr",Lookups!$H$30:$J$242,3,FALSE))),IFERROR($D26*VLOOKUP($C26&amp;"|"&amp;VLOOKUP('Stage 2'!$E$11,Lookups!$C$246:$E$268,3,FALSE),Lookups!$K$30:$M$234,3,FALSE),$D26*VLOOKUP($C26,Lookups!$D$30:$O$234,12,FALSE)))))</f>
        <v/>
      </c>
      <c r="G26" s="151"/>
    </row>
    <row r="27" spans="1:10">
      <c r="A27" s="134"/>
      <c r="B27" s="1"/>
      <c r="C27" s="104"/>
      <c r="D27" s="105"/>
      <c r="E27" s="175" t="str">
        <f>IF(OR(ISBLANK($C27),ISBLANK($D27),ISBLANK($E$10),ISBLANK($E$11)),"",IFERROR($D27*VLOOKUP((IF(OR($C27="Residential urban land",$C27="Commercial/industrial urban land",$C27="Open urban land",$C27="Greenspace",$C27="Community food growing",$C27="Woodland",$C27="Shrub", $C27="Water"), "|||"&amp;$C27, (VLOOKUP('Stage 2'!$E$9,Lookups!$C$272:$D$275,2,FALSE)&amp;"|"&amp;$C27&amp;"|"&amp;VLOOKUP('Stage 2'!$E$12,Lookups!$C$289:$D$290,2,FALSE)&amp;"|"&amp;VLOOKUP('Stage 2'!$E$11,Lookups!$C$246:$E$268,3,FALSE)&amp;"|"&amp;VLOOKUP($E$10,Lookups!$C$280:$D$285,2,FALSE)))),Lookups!$H$30:$J$242,2,FALSE),
IFERROR(IFERROR($D27*VLOOKUP($C27&amp;"|"&amp;VLOOKUP('Stage 2'!$E$12,Lookups!$C$289:$D$290,2,FALSE)&amp;"|"&amp;VLOOKUP('Stage 2'!$E$11,Lookups!$C$246:$E$268,3,FALSE)&amp;"|"&amp;VLOOKUP($E$10,Lookups!$C$280:$D$285,2,FALSE),Lookups!$H$30:$J$242,2,FALSE),IFERROR($D27*VLOOKUP($C27&amp;"|"&amp;"TRUE"&amp;"|"&amp;VLOOKUP('Stage 2'!$E$11,Lookups!$C$246:$E$268,3,FALSE)&amp;"|"&amp;VLOOKUP($E$10,Lookups!$C$280:$D$285,2,FALSE),Lookups!$H$30:$J$242,2,FALSE),$D27*VLOOKUP($C27&amp;"|"&amp;VLOOKUP('Stage 2'!$E$12,Lookups!$C$289:$D$290,2,FALSE)&amp;"|"&amp;VLOOKUP('Stage 2'!$E$11,Lookups!$C$246:$E$268,3,FALSE)&amp;"|"&amp;"DrainedArGr",Lookups!$H$30:$J$242,2,FALSE))),IFERROR($D27*VLOOKUP($C27&amp;"|"&amp;VLOOKUP('Stage 2'!$E$11,Lookups!$C$246:$E$268,3,FALSE),Lookups!$K$30:$M$234,2,FALSE),$D27*VLOOKUP($C27,Lookups!$D$30:$O$234,11,FALSE)))))</f>
        <v/>
      </c>
      <c r="F27" s="174" t="str">
        <f>IF(OR(ISBLANK($C27),ISBLANK($D27),ISBLANK($E$10),ISBLANK($E$11)),"",IFERROR($D27*VLOOKUP((IF(OR($C27="Residential urban land",$C27="Commercial/industrial urban land",$C27="Open urban land",$C27="Greenspace",$C27="Community food growing",$C27="Woodland",$C27="Shrub", $C27="Water"), "|||"&amp;$C27, (VLOOKUP('Stage 2'!$E$9,Lookups!$C$272:$D$275,2,FALSE)&amp;"|"&amp;$C27&amp;"|"&amp;VLOOKUP('Stage 2'!$E$12,Lookups!$C$289:$D$290,2,FALSE)&amp;"|"&amp;VLOOKUP('Stage 2'!$E$11,Lookups!$C$246:$E$268,3,FALSE)&amp;"|"&amp;VLOOKUP($E$10,Lookups!$C$280:$D$285,2,FALSE)))),Lookups!$H$30:$J$242,3,FALSE),
IFERROR(IFERROR($D27*VLOOKUP($C27&amp;"|"&amp;VLOOKUP('Stage 2'!$E$12,Lookups!$C$289:$D$290,2,FALSE)&amp;"|"&amp;VLOOKUP('Stage 2'!$E$11,Lookups!$C$246:$E$268,3,FALSE)&amp;"|"&amp;VLOOKUP($E$10,Lookups!$C$280:$D$285,2,FALSE),Lookups!$H$30:$J$242,3,FALSE),IFERROR($D27*VLOOKUP($C27&amp;"|"&amp;"TRUE"&amp;"|"&amp;VLOOKUP('Stage 2'!$E$11,Lookups!$C$246:$E$268,3,FALSE)&amp;"|"&amp;VLOOKUP($E$10,Lookups!$C$280:$D$285,2,FALSE),Lookups!$H$30:$J$242,3,FALSE),$D27*VLOOKUP($C27&amp;"|"&amp;VLOOKUP('Stage 2'!$E$12,Lookups!$C$289:$D$290,2,FALSE)&amp;"|"&amp;VLOOKUP('Stage 2'!$E$11,Lookups!$C$246:$E$268,3,FALSE)&amp;"|"&amp;"DrainedArGr",Lookups!$H$30:$J$242,3,FALSE))),IFERROR($D27*VLOOKUP($C27&amp;"|"&amp;VLOOKUP('Stage 2'!$E$11,Lookups!$C$246:$E$268,3,FALSE),Lookups!$K$30:$M$234,3,FALSE),$D27*VLOOKUP($C27,Lookups!$D$30:$O$234,12,FALSE)))))</f>
        <v/>
      </c>
      <c r="G27" s="151"/>
    </row>
    <row r="28" spans="1:10">
      <c r="A28" s="134"/>
      <c r="B28" s="1"/>
      <c r="C28" s="104"/>
      <c r="D28" s="105"/>
      <c r="E28" s="175" t="str">
        <f>IF(OR(ISBLANK($C28),ISBLANK($D28),ISBLANK($E$10),ISBLANK($E$11)),"",IFERROR($D28*VLOOKUP((IF(OR($C28="Residential urban land",$C28="Commercial/industrial urban land",$C28="Open urban land",$C28="Greenspace",$C28="Community food growing",$C28="Woodland",$C28="Shrub", $C28="Water"), "|||"&amp;$C28, (VLOOKUP('Stage 2'!$E$9,Lookups!$C$272:$D$275,2,FALSE)&amp;"|"&amp;$C28&amp;"|"&amp;VLOOKUP('Stage 2'!$E$12,Lookups!$C$289:$D$290,2,FALSE)&amp;"|"&amp;VLOOKUP('Stage 2'!$E$11,Lookups!$C$246:$E$268,3,FALSE)&amp;"|"&amp;VLOOKUP($E$10,Lookups!$C$280:$D$285,2,FALSE)))),Lookups!$H$30:$J$242,2,FALSE),
IFERROR(IFERROR($D28*VLOOKUP($C28&amp;"|"&amp;VLOOKUP('Stage 2'!$E$12,Lookups!$C$289:$D$290,2,FALSE)&amp;"|"&amp;VLOOKUP('Stage 2'!$E$11,Lookups!$C$246:$E$268,3,FALSE)&amp;"|"&amp;VLOOKUP($E$10,Lookups!$C$280:$D$285,2,FALSE),Lookups!$H$30:$J$242,2,FALSE),IFERROR($D28*VLOOKUP($C28&amp;"|"&amp;"TRUE"&amp;"|"&amp;VLOOKUP('Stage 2'!$E$11,Lookups!$C$246:$E$268,3,FALSE)&amp;"|"&amp;VLOOKUP($E$10,Lookups!$C$280:$D$285,2,FALSE),Lookups!$H$30:$J$242,2,FALSE),$D28*VLOOKUP($C28&amp;"|"&amp;VLOOKUP('Stage 2'!$E$12,Lookups!$C$289:$D$290,2,FALSE)&amp;"|"&amp;VLOOKUP('Stage 2'!$E$11,Lookups!$C$246:$E$268,3,FALSE)&amp;"|"&amp;"DrainedArGr",Lookups!$H$30:$J$242,2,FALSE))),IFERROR($D28*VLOOKUP($C28&amp;"|"&amp;VLOOKUP('Stage 2'!$E$11,Lookups!$C$246:$E$268,3,FALSE),Lookups!$K$30:$M$234,2,FALSE),$D28*VLOOKUP($C28,Lookups!$D$30:$O$234,11,FALSE)))))</f>
        <v/>
      </c>
      <c r="F28" s="174" t="str">
        <f>IF(OR(ISBLANK($C28),ISBLANK($D28),ISBLANK($E$10),ISBLANK($E$11)),"",IFERROR($D28*VLOOKUP((IF(OR($C28="Residential urban land",$C28="Commercial/industrial urban land",$C28="Open urban land",$C28="Greenspace",$C28="Community food growing",$C28="Woodland",$C28="Shrub", $C28="Water"), "|||"&amp;$C28, (VLOOKUP('Stage 2'!$E$9,Lookups!$C$272:$D$275,2,FALSE)&amp;"|"&amp;$C28&amp;"|"&amp;VLOOKUP('Stage 2'!$E$12,Lookups!$C$289:$D$290,2,FALSE)&amp;"|"&amp;VLOOKUP('Stage 2'!$E$11,Lookups!$C$246:$E$268,3,FALSE)&amp;"|"&amp;VLOOKUP($E$10,Lookups!$C$280:$D$285,2,FALSE)))),Lookups!$H$30:$J$242,3,FALSE),
IFERROR(IFERROR($D28*VLOOKUP($C28&amp;"|"&amp;VLOOKUP('Stage 2'!$E$12,Lookups!$C$289:$D$290,2,FALSE)&amp;"|"&amp;VLOOKUP('Stage 2'!$E$11,Lookups!$C$246:$E$268,3,FALSE)&amp;"|"&amp;VLOOKUP($E$10,Lookups!$C$280:$D$285,2,FALSE),Lookups!$H$30:$J$242,3,FALSE),IFERROR($D28*VLOOKUP($C28&amp;"|"&amp;"TRUE"&amp;"|"&amp;VLOOKUP('Stage 2'!$E$11,Lookups!$C$246:$E$268,3,FALSE)&amp;"|"&amp;VLOOKUP($E$10,Lookups!$C$280:$D$285,2,FALSE),Lookups!$H$30:$J$242,3,FALSE),$D28*VLOOKUP($C28&amp;"|"&amp;VLOOKUP('Stage 2'!$E$12,Lookups!$C$289:$D$290,2,FALSE)&amp;"|"&amp;VLOOKUP('Stage 2'!$E$11,Lookups!$C$246:$E$268,3,FALSE)&amp;"|"&amp;"DrainedArGr",Lookups!$H$30:$J$242,3,FALSE))),IFERROR($D28*VLOOKUP($C28&amp;"|"&amp;VLOOKUP('Stage 2'!$E$11,Lookups!$C$246:$E$268,3,FALSE),Lookups!$K$30:$M$234,3,FALSE),$D28*VLOOKUP($C28,Lookups!$D$30:$O$234,12,FALSE)))))</f>
        <v/>
      </c>
      <c r="G28" s="151"/>
      <c r="I28" s="159"/>
    </row>
    <row r="29" spans="1:10">
      <c r="A29" s="134"/>
      <c r="B29" s="1"/>
      <c r="C29" s="104"/>
      <c r="D29" s="105"/>
      <c r="E29" s="175" t="str">
        <f>IF(OR(ISBLANK($C29),ISBLANK($D29),ISBLANK($E$10),ISBLANK($E$11)),"",IFERROR($D29*VLOOKUP((IF(OR($C29="Residential urban land",$C29="Commercial/industrial urban land",$C29="Open urban land",$C29="Greenspace",$C29="Community food growing",$C29="Woodland",$C29="Shrub", $C29="Water"), "|||"&amp;$C29, (VLOOKUP('Stage 2'!$E$9,Lookups!$C$272:$D$275,2,FALSE)&amp;"|"&amp;$C29&amp;"|"&amp;VLOOKUP('Stage 2'!$E$12,Lookups!$C$289:$D$290,2,FALSE)&amp;"|"&amp;VLOOKUP('Stage 2'!$E$11,Lookups!$C$246:$E$268,3,FALSE)&amp;"|"&amp;VLOOKUP($E$10,Lookups!$C$280:$D$285,2,FALSE)))),Lookups!$H$30:$J$242,2,FALSE),
IFERROR(IFERROR($D29*VLOOKUP($C29&amp;"|"&amp;VLOOKUP('Stage 2'!$E$12,Lookups!$C$289:$D$290,2,FALSE)&amp;"|"&amp;VLOOKUP('Stage 2'!$E$11,Lookups!$C$246:$E$268,3,FALSE)&amp;"|"&amp;VLOOKUP($E$10,Lookups!$C$280:$D$285,2,FALSE),Lookups!$H$30:$J$242,2,FALSE),IFERROR($D29*VLOOKUP($C29&amp;"|"&amp;"TRUE"&amp;"|"&amp;VLOOKUP('Stage 2'!$E$11,Lookups!$C$246:$E$268,3,FALSE)&amp;"|"&amp;VLOOKUP($E$10,Lookups!$C$280:$D$285,2,FALSE),Lookups!$H$30:$J$242,2,FALSE),$D29*VLOOKUP($C29&amp;"|"&amp;VLOOKUP('Stage 2'!$E$12,Lookups!$C$289:$D$290,2,FALSE)&amp;"|"&amp;VLOOKUP('Stage 2'!$E$11,Lookups!$C$246:$E$268,3,FALSE)&amp;"|"&amp;"DrainedArGr",Lookups!$H$30:$J$242,2,FALSE))),IFERROR($D29*VLOOKUP($C29&amp;"|"&amp;VLOOKUP('Stage 2'!$E$11,Lookups!$C$246:$E$268,3,FALSE),Lookups!$K$30:$M$234,2,FALSE),$D29*VLOOKUP($C29,Lookups!$D$30:$O$234,11,FALSE)))))</f>
        <v/>
      </c>
      <c r="F29" s="174" t="str">
        <f>IF(OR(ISBLANK($C29),ISBLANK($D29),ISBLANK($E$10),ISBLANK($E$11)),"",IFERROR($D29*VLOOKUP((IF(OR($C29="Residential urban land",$C29="Commercial/industrial urban land",$C29="Open urban land",$C29="Greenspace",$C29="Community food growing",$C29="Woodland",$C29="Shrub", $C29="Water"), "|||"&amp;$C29, (VLOOKUP('Stage 2'!$E$9,Lookups!$C$272:$D$275,2,FALSE)&amp;"|"&amp;$C29&amp;"|"&amp;VLOOKUP('Stage 2'!$E$12,Lookups!$C$289:$D$290,2,FALSE)&amp;"|"&amp;VLOOKUP('Stage 2'!$E$11,Lookups!$C$246:$E$268,3,FALSE)&amp;"|"&amp;VLOOKUP($E$10,Lookups!$C$280:$D$285,2,FALSE)))),Lookups!$H$30:$J$242,3,FALSE),
IFERROR(IFERROR($D29*VLOOKUP($C29&amp;"|"&amp;VLOOKUP('Stage 2'!$E$12,Lookups!$C$289:$D$290,2,FALSE)&amp;"|"&amp;VLOOKUP('Stage 2'!$E$11,Lookups!$C$246:$E$268,3,FALSE)&amp;"|"&amp;VLOOKUP($E$10,Lookups!$C$280:$D$285,2,FALSE),Lookups!$H$30:$J$242,3,FALSE),IFERROR($D29*VLOOKUP($C29&amp;"|"&amp;"TRUE"&amp;"|"&amp;VLOOKUP('Stage 2'!$E$11,Lookups!$C$246:$E$268,3,FALSE)&amp;"|"&amp;VLOOKUP($E$10,Lookups!$C$280:$D$285,2,FALSE),Lookups!$H$30:$J$242,3,FALSE),$D29*VLOOKUP($C29&amp;"|"&amp;VLOOKUP('Stage 2'!$E$12,Lookups!$C$289:$D$290,2,FALSE)&amp;"|"&amp;VLOOKUP('Stage 2'!$E$11,Lookups!$C$246:$E$268,3,FALSE)&amp;"|"&amp;"DrainedArGr",Lookups!$H$30:$J$242,3,FALSE))),IFERROR($D29*VLOOKUP($C29&amp;"|"&amp;VLOOKUP('Stage 2'!$E$11,Lookups!$C$246:$E$268,3,FALSE),Lookups!$K$30:$M$234,3,FALSE),$D29*VLOOKUP($C29,Lookups!$D$30:$O$234,12,FALSE)))))</f>
        <v/>
      </c>
      <c r="G29" s="151"/>
    </row>
    <row r="30" spans="1:10">
      <c r="A30" s="134"/>
      <c r="B30" s="1"/>
      <c r="C30" s="104"/>
      <c r="D30" s="105"/>
      <c r="E30" s="175" t="str">
        <f>IF(OR(ISBLANK($C30),ISBLANK($D30),ISBLANK($E$10),ISBLANK($E$11)),"",IFERROR($D30*VLOOKUP((IF(OR($C30="Residential urban land",$C30="Commercial/industrial urban land",$C30="Open urban land",$C30="Greenspace",$C30="Community food growing",$C30="Woodland",$C30="Shrub", $C30="Water"), "|||"&amp;$C30, (VLOOKUP('Stage 2'!$E$9,Lookups!$C$272:$D$275,2,FALSE)&amp;"|"&amp;$C30&amp;"|"&amp;VLOOKUP('Stage 2'!$E$12,Lookups!$C$289:$D$290,2,FALSE)&amp;"|"&amp;VLOOKUP('Stage 2'!$E$11,Lookups!$C$246:$E$268,3,FALSE)&amp;"|"&amp;VLOOKUP($E$10,Lookups!$C$280:$D$285,2,FALSE)))),Lookups!$H$30:$J$242,2,FALSE),
IFERROR(IFERROR($D30*VLOOKUP($C30&amp;"|"&amp;VLOOKUP('Stage 2'!$E$12,Lookups!$C$289:$D$290,2,FALSE)&amp;"|"&amp;VLOOKUP('Stage 2'!$E$11,Lookups!$C$246:$E$268,3,FALSE)&amp;"|"&amp;VLOOKUP($E$10,Lookups!$C$280:$D$285,2,FALSE),Lookups!$H$30:$J$242,2,FALSE),IFERROR($D30*VLOOKUP($C30&amp;"|"&amp;"TRUE"&amp;"|"&amp;VLOOKUP('Stage 2'!$E$11,Lookups!$C$246:$E$268,3,FALSE)&amp;"|"&amp;VLOOKUP($E$10,Lookups!$C$280:$D$285,2,FALSE),Lookups!$H$30:$J$242,2,FALSE),$D30*VLOOKUP($C30&amp;"|"&amp;VLOOKUP('Stage 2'!$E$12,Lookups!$C$289:$D$290,2,FALSE)&amp;"|"&amp;VLOOKUP('Stage 2'!$E$11,Lookups!$C$246:$E$268,3,FALSE)&amp;"|"&amp;"DrainedArGr",Lookups!$H$30:$J$242,2,FALSE))),IFERROR($D30*VLOOKUP($C30&amp;"|"&amp;VLOOKUP('Stage 2'!$E$11,Lookups!$C$246:$E$268,3,FALSE),Lookups!$K$30:$M$234,2,FALSE),$D30*VLOOKUP($C30,Lookups!$D$30:$O$234,11,FALSE)))))</f>
        <v/>
      </c>
      <c r="F30" s="174" t="str">
        <f>IF(OR(ISBLANK($C30),ISBLANK($D30),ISBLANK($E$10),ISBLANK($E$11)),"",IFERROR($D30*VLOOKUP((IF(OR($C30="Residential urban land",$C30="Commercial/industrial urban land",$C30="Open urban land",$C30="Greenspace",$C30="Community food growing",$C30="Woodland",$C30="Shrub", $C30="Water"), "|||"&amp;$C30, (VLOOKUP('Stage 2'!$E$9,Lookups!$C$272:$D$275,2,FALSE)&amp;"|"&amp;$C30&amp;"|"&amp;VLOOKUP('Stage 2'!$E$12,Lookups!$C$289:$D$290,2,FALSE)&amp;"|"&amp;VLOOKUP('Stage 2'!$E$11,Lookups!$C$246:$E$268,3,FALSE)&amp;"|"&amp;VLOOKUP($E$10,Lookups!$C$280:$D$285,2,FALSE)))),Lookups!$H$30:$J$242,3,FALSE),
IFERROR(IFERROR($D30*VLOOKUP($C30&amp;"|"&amp;VLOOKUP('Stage 2'!$E$12,Lookups!$C$289:$D$290,2,FALSE)&amp;"|"&amp;VLOOKUP('Stage 2'!$E$11,Lookups!$C$246:$E$268,3,FALSE)&amp;"|"&amp;VLOOKUP($E$10,Lookups!$C$280:$D$285,2,FALSE),Lookups!$H$30:$J$242,3,FALSE),IFERROR($D30*VLOOKUP($C30&amp;"|"&amp;"TRUE"&amp;"|"&amp;VLOOKUP('Stage 2'!$E$11,Lookups!$C$246:$E$268,3,FALSE)&amp;"|"&amp;VLOOKUP($E$10,Lookups!$C$280:$D$285,2,FALSE),Lookups!$H$30:$J$242,3,FALSE),$D30*VLOOKUP($C30&amp;"|"&amp;VLOOKUP('Stage 2'!$E$12,Lookups!$C$289:$D$290,2,FALSE)&amp;"|"&amp;VLOOKUP('Stage 2'!$E$11,Lookups!$C$246:$E$268,3,FALSE)&amp;"|"&amp;"DrainedArGr",Lookups!$H$30:$J$242,3,FALSE))),IFERROR($D30*VLOOKUP($C30&amp;"|"&amp;VLOOKUP('Stage 2'!$E$11,Lookups!$C$246:$E$268,3,FALSE),Lookups!$K$30:$M$234,3,FALSE),$D30*VLOOKUP($C30,Lookups!$D$30:$O$234,12,FALSE)))))</f>
        <v/>
      </c>
      <c r="G30" s="151"/>
    </row>
    <row r="31" spans="1:10" ht="15.75" thickBot="1">
      <c r="A31" s="134"/>
      <c r="B31" s="1"/>
      <c r="C31" s="104"/>
      <c r="D31" s="106"/>
      <c r="E31" s="176" t="str">
        <f>IF(OR(ISBLANK($C31),ISBLANK($D31),ISBLANK($E$10),ISBLANK($E$11)),"",IFERROR($D31*VLOOKUP((IF(OR($C31="Residential urban land",$C31="Commercial/industrial urban land",$C31="Open urban land",$C31="Greenspace",$C31="Community food growing",$C31="Woodland",$C31="Shrub", $C31="Water"), "|||"&amp;$C31, (VLOOKUP('Stage 2'!$E$9,Lookups!$C$272:$D$275,2,FALSE)&amp;"|"&amp;$C31&amp;"|"&amp;VLOOKUP('Stage 2'!$E$12,Lookups!$C$289:$D$290,2,FALSE)&amp;"|"&amp;VLOOKUP('Stage 2'!$E$11,Lookups!$C$246:$E$268,3,FALSE)&amp;"|"&amp;VLOOKUP($E$10,Lookups!$C$280:$D$285,2,FALSE)))),Lookups!$H$30:$J$242,2,FALSE),
IFERROR(IFERROR($D31*VLOOKUP($C31&amp;"|"&amp;VLOOKUP('Stage 2'!$E$12,Lookups!$C$289:$D$290,2,FALSE)&amp;"|"&amp;VLOOKUP('Stage 2'!$E$11,Lookups!$C$246:$E$268,3,FALSE)&amp;"|"&amp;VLOOKUP($E$10,Lookups!$C$280:$D$285,2,FALSE),Lookups!$H$30:$J$242,2,FALSE),IFERROR($D31*VLOOKUP($C31&amp;"|"&amp;"TRUE"&amp;"|"&amp;VLOOKUP('Stage 2'!$E$11,Lookups!$C$246:$E$268,3,FALSE)&amp;"|"&amp;VLOOKUP($E$10,Lookups!$C$280:$D$285,2,FALSE),Lookups!$H$30:$J$242,2,FALSE),$D31*VLOOKUP($C31&amp;"|"&amp;VLOOKUP('Stage 2'!$E$12,Lookups!$C$289:$D$290,2,FALSE)&amp;"|"&amp;VLOOKUP('Stage 2'!$E$11,Lookups!$C$246:$E$268,3,FALSE)&amp;"|"&amp;"DrainedArGr",Lookups!$H$30:$J$242,2,FALSE))),IFERROR($D31*VLOOKUP($C31&amp;"|"&amp;VLOOKUP('Stage 2'!$E$11,Lookups!$C$246:$E$268,3,FALSE),Lookups!$K$30:$M$234,2,FALSE),$D31*VLOOKUP($C31,Lookups!$D$30:$O$234,11,FALSE)))))</f>
        <v/>
      </c>
      <c r="F31" s="117" t="str">
        <f>IF(OR(ISBLANK($C31),ISBLANK($D31),ISBLANK($E$10),ISBLANK($E$11)),"",IFERROR($D31*VLOOKUP((IF(OR($C31="Residential urban land",$C31="Commercial/industrial urban land",$C31="Open urban land",$C31="Greenspace",$C31="Community food growing",$C31="Woodland",$C31="Shrub", $C31="Water"), "|||"&amp;$C31, (VLOOKUP('Stage 2'!$E$9,Lookups!$C$272:$D$275,2,FALSE)&amp;"|"&amp;$C31&amp;"|"&amp;VLOOKUP('Stage 2'!$E$12,Lookups!$C$289:$D$290,2,FALSE)&amp;"|"&amp;VLOOKUP('Stage 2'!$E$11,Lookups!$C$246:$E$268,3,FALSE)&amp;"|"&amp;VLOOKUP($E$10,Lookups!$C$280:$D$285,2,FALSE)))),Lookups!$H$30:$J$242,3,FALSE),
IFERROR(IFERROR($D31*VLOOKUP($C31&amp;"|"&amp;VLOOKUP('Stage 2'!$E$12,Lookups!$C$289:$D$290,2,FALSE)&amp;"|"&amp;VLOOKUP('Stage 2'!$E$11,Lookups!$C$246:$E$268,3,FALSE)&amp;"|"&amp;VLOOKUP($E$10,Lookups!$C$280:$D$285,2,FALSE),Lookups!$H$30:$J$242,3,FALSE),IFERROR($D31*VLOOKUP($C31&amp;"|"&amp;"TRUE"&amp;"|"&amp;VLOOKUP('Stage 2'!$E$11,Lookups!$C$246:$E$268,3,FALSE)&amp;"|"&amp;VLOOKUP($E$10,Lookups!$C$280:$D$285,2,FALSE),Lookups!$H$30:$J$242,3,FALSE),$D31*VLOOKUP($C31&amp;"|"&amp;VLOOKUP('Stage 2'!$E$12,Lookups!$C$289:$D$290,2,FALSE)&amp;"|"&amp;VLOOKUP('Stage 2'!$E$11,Lookups!$C$246:$E$268,3,FALSE)&amp;"|"&amp;"DrainedArGr",Lookups!$H$30:$J$242,3,FALSE))),IFERROR($D31*VLOOKUP($C31&amp;"|"&amp;VLOOKUP('Stage 2'!$E$11,Lookups!$C$246:$E$268,3,FALSE),Lookups!$K$30:$M$234,3,FALSE),$D31*VLOOKUP($C31,Lookups!$D$30:$O$234,12,FALSE)))))</f>
        <v/>
      </c>
      <c r="G31" s="151"/>
    </row>
    <row r="32" spans="1:10">
      <c r="A32" s="134"/>
      <c r="B32" s="1"/>
      <c r="C32" s="73" t="s">
        <v>115</v>
      </c>
      <c r="D32" s="97">
        <f>SUM(D15:D31)</f>
        <v>0</v>
      </c>
      <c r="E32" s="98">
        <f>SUM(E15:E31)</f>
        <v>0</v>
      </c>
      <c r="F32" s="173">
        <f>SUM(F15:F31)</f>
        <v>0</v>
      </c>
      <c r="G32" s="118"/>
    </row>
    <row r="33" spans="1:7" ht="15.75" thickBot="1">
      <c r="A33" s="134"/>
      <c r="B33" s="144"/>
      <c r="C33" s="131"/>
      <c r="D33" s="131"/>
      <c r="E33" s="131"/>
      <c r="F33" s="131"/>
      <c r="G33" s="132"/>
    </row>
    <row r="34" spans="1:7" ht="15.75" thickTop="1"/>
  </sheetData>
  <sheetProtection algorithmName="SHA-512" hashValue="/qRGGyXfQtKCacTUl08kxEDAyJVfXqZJ9KNklivMiRY5gRUddIVgJY3UrXC8r0b6trUxT4qNbheUOnZ6bunwwg==" saltValue="bTqoUM4y8Bjdxgmdju6C2Q=="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G5"/>
    <mergeCell ref="C7:F7"/>
  </mergeCells>
  <dataValidations xWindow="575" yWindow="301" count="1">
    <dataValidation allowBlank="1" showInputMessage="1" showErrorMessage="1" prompt="Please enter area in hectares." sqref="D15:D31" xr:uid="{7A3F0B97-DB05-43E3-94F5-093694D5E348}"/>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575" yWindow="301" count="5">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r:uid="{506A711F-D616-42C7-91D7-47C349233471}">
          <x14:formula1>
            <xm:f>Lookups!$C$248:$C$261</xm:f>
          </x14:formula1>
          <xm:sqref>E11</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r:uid="{9F25A89B-2F33-4BD1-97BD-EA33B22A96BB}">
          <x14:formula1>
            <xm:f>Lookups!$C$289:$C$290</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r:uid="{30EB6C55-0D33-4679-BDCD-D3A716B82E75}">
          <x14:formula1>
            <xm:f>Lookups!$C$280:$C$285</xm:f>
          </x14:formula1>
          <xm:sqref>E10</xm:sqref>
        </x14:dataValidation>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r:uid="{B2B19558-C6B4-46F2-B681-B62D4CF291FE}">
          <x14:formula1>
            <xm:f>Lookups!$D$272:$D$275</xm:f>
          </x14:formula1>
          <xm:sqref>E9</xm:sqref>
        </x14:dataValidation>
        <x14:dataValidation type="list" allowBlank="1" showInputMessage="1" showErrorMessage="1" errorTitle="Landcover" error="Please select all pre exisitng landcover types." prompt="Select exisiting (pre-development) land use types from the drop down list." xr:uid="{992ADEAC-2247-4596-A0CE-29D439F892B1}">
          <x14:formula1>
            <xm:f>Lookups!$I$272:$I$285</xm:f>
          </x14:formula1>
          <xm:sqref>C15:C31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dimension ref="A3:I29"/>
  <sheetViews>
    <sheetView showGridLines="0" showRowColHeaders="0" zoomScaleNormal="100" workbookViewId="0">
      <selection activeCell="C10" sqref="C10"/>
    </sheetView>
  </sheetViews>
  <sheetFormatPr defaultColWidth="9.28515625" defaultRowHeight="15"/>
  <cols>
    <col min="1" max="1" width="9.28515625" style="133"/>
    <col min="2" max="2" width="4.7109375" style="133" customWidth="1"/>
    <col min="3" max="3" width="32" style="133" customWidth="1"/>
    <col min="4" max="4" width="12.42578125" style="133" customWidth="1"/>
    <col min="5" max="5" width="19.5703125" style="133" customWidth="1"/>
    <col min="6" max="6" width="18.7109375" style="133" customWidth="1"/>
    <col min="7" max="7" width="4.5703125" style="133" customWidth="1"/>
    <col min="8" max="16384" width="9.28515625" style="133"/>
  </cols>
  <sheetData>
    <row r="3" spans="1:9">
      <c r="A3" s="134"/>
      <c r="B3" s="259" t="s">
        <v>116</v>
      </c>
      <c r="C3" s="260"/>
      <c r="D3" s="260"/>
      <c r="E3" s="260"/>
      <c r="F3" s="260"/>
      <c r="G3" s="261"/>
    </row>
    <row r="4" spans="1:9">
      <c r="A4" s="134"/>
      <c r="B4" s="259"/>
      <c r="C4" s="260"/>
      <c r="D4" s="260"/>
      <c r="E4" s="260"/>
      <c r="F4" s="260"/>
      <c r="G4" s="261"/>
    </row>
    <row r="5" spans="1:9">
      <c r="A5" s="134"/>
      <c r="B5" s="259"/>
      <c r="C5" s="260"/>
      <c r="D5" s="260"/>
      <c r="E5" s="260"/>
      <c r="F5" s="260"/>
      <c r="G5" s="261"/>
    </row>
    <row r="6" spans="1:9" ht="17.25">
      <c r="A6" s="134"/>
      <c r="B6" s="1"/>
      <c r="C6" s="1"/>
      <c r="D6" s="1"/>
      <c r="E6" s="1"/>
      <c r="F6" s="1"/>
      <c r="G6" s="142"/>
    </row>
    <row r="7" spans="1:9" ht="18" customHeight="1">
      <c r="A7" s="134"/>
      <c r="B7" s="1"/>
      <c r="C7" s="264" t="s">
        <v>78</v>
      </c>
      <c r="D7" s="264"/>
      <c r="E7" s="264"/>
      <c r="F7" s="264"/>
      <c r="G7" s="141"/>
    </row>
    <row r="8" spans="1:9">
      <c r="A8" s="134"/>
      <c r="B8" s="1"/>
      <c r="C8" s="1"/>
      <c r="D8" s="1"/>
      <c r="E8" s="1"/>
      <c r="F8" s="1"/>
      <c r="G8" s="118"/>
    </row>
    <row r="9" spans="1:9" ht="68.25" customHeight="1" thickBot="1">
      <c r="A9" s="134"/>
      <c r="B9" s="1"/>
      <c r="C9" s="74" t="s">
        <v>117</v>
      </c>
      <c r="D9" s="74" t="s">
        <v>112</v>
      </c>
      <c r="E9" s="71" t="s">
        <v>113</v>
      </c>
      <c r="F9" s="72" t="s">
        <v>118</v>
      </c>
      <c r="G9" s="118"/>
    </row>
    <row r="10" spans="1:9">
      <c r="A10" s="134"/>
      <c r="B10" s="1"/>
      <c r="C10" s="104"/>
      <c r="D10" s="105"/>
      <c r="E10" s="217" t="str">
        <f>IF(OR(ISBLANK(C10),ISBLANK(D10)),"",D10*VLOOKUP((IF(OR(C10="Residential urban land",C10="Commercial/industrial urban land",C10="Open urban land",C10="Greenspace",C10="Community food growing",C10="Woodland",C10="Shrub", C10="Water"), "|||"&amp;C10, (VLOOKUP('Stage 2'!$E$9,Lookups!$C$275:$D$275,2,FALSE)&amp;"|"&amp;C10&amp;"|"&amp;VLOOKUP('Stage 2'!$E$12,Lookups!$C$289:$D$290,2,FALSE)&amp;"|"&amp;VLOOKUP('Stage 2'!$E$11,Lookups!$C$246:$E$268,3,FALSE)&amp;"|"&amp;VLOOKUP('Stage 2'!$E$10,Lookups!$C$280:$E$285,2,FALSE)))),Lookups!$H$30:$J$242,2,FALSE))</f>
        <v/>
      </c>
      <c r="F10" s="174" t="str">
        <f>IF(OR(ISBLANK(C10),ISBLANK(D10)),"",D10*VLOOKUP((IF(OR(C10="Residential urban land",C10="Commercial/industrial urban land",C10="Open urban land",C10="Greenspace",C10="Community food growing",C10="Woodland",C10="Shrub", C10="Water"), "|||"&amp;C10, (VLOOKUP('Stage 2'!$E$9,Lookups!$C$275:$D$275,2,FALSE)&amp;"|"&amp;C10&amp;"|"&amp;VLOOKUP('Stage 2'!$E$12,Lookups!$C$289:$D$290,2,FALSE)&amp;"|"&amp;VLOOKUP('Stage 2'!$E$11,Lookups!$C$246:$E$268,3,FALSE)&amp;"|"&amp;VLOOKUP('Stage 2'!$E$10,Lookups!$C$280:$E$285,2,FALSE)))),Lookups!$H$30:$J$242,3,FALSE))</f>
        <v/>
      </c>
      <c r="G10" s="118"/>
    </row>
    <row r="11" spans="1:9">
      <c r="A11" s="134"/>
      <c r="B11" s="1"/>
      <c r="C11" s="104"/>
      <c r="D11" s="105"/>
      <c r="E11" s="218" t="str">
        <f>IF(OR(ISBLANK(C11),ISBLANK(D11)),"",D11*VLOOKUP((IF(OR(C11="Residential urban land",C11="Commercial/industrial urban land",C11="Open urban land",C11="Greenspace",C11="Community food growing",C11="Woodland",C11="Shrub", C11="Water"), "|||"&amp;C11, (VLOOKUP('Stage 2'!$E$9,Lookups!$C$275:$D$275,2,FALSE)&amp;"|"&amp;C11&amp;"|"&amp;VLOOKUP('Stage 2'!$E$12,Lookups!$C$289:$D$290,2,FALSE)&amp;"|"&amp;VLOOKUP('Stage 2'!$E$11,Lookups!$C$246:$E$268,3,FALSE)&amp;"|"&amp;VLOOKUP('Stage 2'!$E$10,Lookups!$C$280:$E$285,2,FALSE)))),Lookups!$H$30:$J$242,2,FALSE))</f>
        <v/>
      </c>
      <c r="F11" s="174" t="str">
        <f>IF(OR(ISBLANK(C11),ISBLANK(D11)),"",D11*VLOOKUP((IF(OR(C11="Residential urban land",C11="Commercial/industrial urban land",C11="Open urban land",C11="Greenspace",C11="Community food growing",C11="Woodland",C11="Shrub", C11="Water"), "|||"&amp;C11, (VLOOKUP('Stage 2'!$E$9,Lookups!$C$275:$D$275,2,FALSE)&amp;"|"&amp;C11&amp;"|"&amp;VLOOKUP('Stage 2'!$E$12,Lookups!$C$289:$D$290,2,FALSE)&amp;"|"&amp;VLOOKUP('Stage 2'!$E$11,Lookups!$C$246:$E$268,3,FALSE)&amp;"|"&amp;VLOOKUP('Stage 2'!$E$10,Lookups!$C$280:$E$285,2,FALSE)))),Lookups!$H$30:$J$242,3,FALSE))</f>
        <v/>
      </c>
      <c r="G11" s="118"/>
    </row>
    <row r="12" spans="1:9">
      <c r="A12" s="134"/>
      <c r="B12" s="1"/>
      <c r="C12" s="104"/>
      <c r="D12" s="105"/>
      <c r="E12" s="218" t="str">
        <f>IF(OR(ISBLANK(C12),ISBLANK(D12)),"",D12*VLOOKUP((IF(OR(C12="Residential urban land",C12="Commercial/industrial urban land",C12="Open urban land",C12="Greenspace",C12="Community food growing",C12="Woodland",C12="Shrub", C12="Water"), "|||"&amp;C12, (VLOOKUP('Stage 2'!$E$9,Lookups!$C$275:$D$275,2,FALSE)&amp;"|"&amp;C12&amp;"|"&amp;VLOOKUP('Stage 2'!$E$12,Lookups!$C$289:$D$290,2,FALSE)&amp;"|"&amp;VLOOKUP('Stage 2'!$E$11,Lookups!$C$246:$E$268,3,FALSE)&amp;"|"&amp;VLOOKUP('Stage 2'!$E$10,Lookups!$C$280:$E$285,2,FALSE)))),Lookups!$H$30:$J$242,2,FALSE))</f>
        <v/>
      </c>
      <c r="F12" s="174" t="str">
        <f>IF(OR(ISBLANK(C12),ISBLANK(D12)),"",D12*VLOOKUP((IF(OR(C12="Residential urban land",C12="Commercial/industrial urban land",C12="Open urban land",C12="Greenspace",C12="Community food growing",C12="Woodland",C12="Shrub", C12="Water"), "|||"&amp;C12, (VLOOKUP('Stage 2'!$E$9,Lookups!$C$275:$D$275,2,FALSE)&amp;"|"&amp;C12&amp;"|"&amp;VLOOKUP('Stage 2'!$E$12,Lookups!$C$289:$D$290,2,FALSE)&amp;"|"&amp;VLOOKUP('Stage 2'!$E$11,Lookups!$C$246:$E$268,3,FALSE)&amp;"|"&amp;VLOOKUP('Stage 2'!$E$10,Lookups!$C$280:$E$285,2,FALSE)))),Lookups!$H$30:$J$242,3,FALSE))</f>
        <v/>
      </c>
      <c r="G12" s="118"/>
    </row>
    <row r="13" spans="1:9">
      <c r="A13" s="134"/>
      <c r="B13" s="1"/>
      <c r="C13" s="104"/>
      <c r="D13" s="105"/>
      <c r="E13" s="218" t="str">
        <f>IF(OR(ISBLANK(C13),ISBLANK(D13)),"",D13*VLOOKUP((IF(OR(C13="Residential urban land",C13="Commercial/industrial urban land",C13="Open urban land",C13="Greenspace",C13="Community food growing",C13="Woodland",C13="Shrub", C13="Water"), "|||"&amp;C13, (VLOOKUP('Stage 2'!$E$9,Lookups!$C$275:$D$275,2,FALSE)&amp;"|"&amp;C13&amp;"|"&amp;VLOOKUP('Stage 2'!$E$12,Lookups!$C$289:$D$290,2,FALSE)&amp;"|"&amp;VLOOKUP('Stage 2'!$E$11,Lookups!$C$246:$E$268,3,FALSE)&amp;"|"&amp;VLOOKUP('Stage 2'!$E$10,Lookups!$C$280:$E$285,2,FALSE)))),Lookups!$H$30:$J$242,2,FALSE))</f>
        <v/>
      </c>
      <c r="F13" s="174" t="str">
        <f>IF(OR(ISBLANK(C13),ISBLANK(D13)),"",D13*VLOOKUP((IF(OR(C13="Residential urban land",C13="Commercial/industrial urban land",C13="Open urban land",C13="Greenspace",C13="Community food growing",C13="Woodland",C13="Shrub", C13="Water"), "|||"&amp;C13, (VLOOKUP('Stage 2'!$E$9,Lookups!$C$275:$D$275,2,FALSE)&amp;"|"&amp;C13&amp;"|"&amp;VLOOKUP('Stage 2'!$E$12,Lookups!$C$289:$D$290,2,FALSE)&amp;"|"&amp;VLOOKUP('Stage 2'!$E$11,Lookups!$C$246:$E$268,3,FALSE)&amp;"|"&amp;VLOOKUP('Stage 2'!$E$10,Lookups!$C$280:$E$285,2,FALSE)))),Lookups!$H$30:$J$242,3,FALSE))</f>
        <v/>
      </c>
      <c r="G13" s="118"/>
    </row>
    <row r="14" spans="1:9">
      <c r="A14" s="134"/>
      <c r="B14" s="1"/>
      <c r="C14" s="104"/>
      <c r="D14" s="105"/>
      <c r="E14" s="218" t="str">
        <f>IF(OR(ISBLANK(C14),ISBLANK(D14)),"",D14*VLOOKUP((IF(OR(C14="Residential urban land",C14="Commercial/industrial urban land",C14="Open urban land",C14="Greenspace",C14="Community food growing",C14="Woodland",C14="Shrub", C14="Water"), "|||"&amp;C14, (VLOOKUP('Stage 2'!$E$9,Lookups!$C$275:$D$275,2,FALSE)&amp;"|"&amp;C14&amp;"|"&amp;VLOOKUP('Stage 2'!$E$12,Lookups!$C$289:$D$290,2,FALSE)&amp;"|"&amp;VLOOKUP('Stage 2'!$E$11,Lookups!$C$246:$E$268,3,FALSE)&amp;"|"&amp;VLOOKUP('Stage 2'!$E$10,Lookups!$C$280:$E$285,2,FALSE)))),Lookups!$H$30:$J$242,2,FALSE))</f>
        <v/>
      </c>
      <c r="F14" s="174" t="str">
        <f>IF(OR(ISBLANK(C14),ISBLANK(D14)),"",D14*VLOOKUP((IF(OR(C14="Residential urban land",C14="Commercial/industrial urban land",C14="Open urban land",C14="Greenspace",C14="Community food growing",C14="Woodland",C14="Shrub", C14="Water"), "|||"&amp;C14, (VLOOKUP('Stage 2'!$E$9,Lookups!$C$275:$D$275,2,FALSE)&amp;"|"&amp;C14&amp;"|"&amp;VLOOKUP('Stage 2'!$E$12,Lookups!$C$289:$D$290,2,FALSE)&amp;"|"&amp;VLOOKUP('Stage 2'!$E$11,Lookups!$C$246:$E$268,3,FALSE)&amp;"|"&amp;VLOOKUP('Stage 2'!$E$10,Lookups!$C$280:$E$285,2,FALSE)))),Lookups!$H$30:$J$242,3,FALSE))</f>
        <v/>
      </c>
      <c r="G14" s="118"/>
    </row>
    <row r="15" spans="1:9">
      <c r="A15" s="134"/>
      <c r="B15" s="1"/>
      <c r="C15" s="104"/>
      <c r="D15" s="105"/>
      <c r="E15" s="218" t="str">
        <f>IF(OR(ISBLANK(C15),ISBLANK(D15)),"",D15*VLOOKUP((IF(OR(C15="Residential urban land",C15="Commercial/industrial urban land",C15="Open urban land",C15="Greenspace",C15="Community food growing",C15="Woodland",C15="Shrub", C15="Water"), "|||"&amp;C15, (VLOOKUP('Stage 2'!$E$9,Lookups!$C$275:$D$275,2,FALSE)&amp;"|"&amp;C15&amp;"|"&amp;VLOOKUP('Stage 2'!$E$12,Lookups!$C$289:$D$290,2,FALSE)&amp;"|"&amp;VLOOKUP('Stage 2'!$E$11,Lookups!$C$246:$E$268,3,FALSE)&amp;"|"&amp;VLOOKUP('Stage 2'!$E$10,Lookups!$C$280:$E$285,2,FALSE)))),Lookups!$H$30:$J$242,2,FALSE))</f>
        <v/>
      </c>
      <c r="F15" s="174" t="str">
        <f>IF(OR(ISBLANK(C15),ISBLANK(D15)),"",D15*VLOOKUP((IF(OR(C15="Residential urban land",C15="Commercial/industrial urban land",C15="Open urban land",C15="Greenspace",C15="Community food growing",C15="Woodland",C15="Shrub", C15="Water"), "|||"&amp;C15, (VLOOKUP('Stage 2'!$E$9,Lookups!$C$275:$D$275,2,FALSE)&amp;"|"&amp;C15&amp;"|"&amp;VLOOKUP('Stage 2'!$E$12,Lookups!$C$289:$D$290,2,FALSE)&amp;"|"&amp;VLOOKUP('Stage 2'!$E$11,Lookups!$C$246:$E$268,3,FALSE)&amp;"|"&amp;VLOOKUP('Stage 2'!$E$10,Lookups!$C$280:$E$285,2,FALSE)))),Lookups!$H$30:$J$242,3,FALSE))</f>
        <v/>
      </c>
      <c r="G15" s="118"/>
      <c r="I15" s="159"/>
    </row>
    <row r="16" spans="1:9">
      <c r="A16" s="134"/>
      <c r="B16" s="1"/>
      <c r="C16" s="104"/>
      <c r="D16" s="105"/>
      <c r="E16" s="218" t="str">
        <f>IF(OR(ISBLANK(C16),ISBLANK(D16)),"",D16*VLOOKUP((IF(OR(C16="Residential urban land",C16="Commercial/industrial urban land",C16="Open urban land",C16="Greenspace",C16="Community food growing",C16="Woodland",C16="Shrub", C16="Water"), "|||"&amp;C16, (VLOOKUP('Stage 2'!$E$9,Lookups!$C$275:$D$275,2,FALSE)&amp;"|"&amp;C16&amp;"|"&amp;VLOOKUP('Stage 2'!$E$12,Lookups!$C$289:$D$290,2,FALSE)&amp;"|"&amp;VLOOKUP('Stage 2'!$E$11,Lookups!$C$246:$E$268,3,FALSE)&amp;"|"&amp;VLOOKUP('Stage 2'!$E$10,Lookups!$C$280:$E$285,2,FALSE)))),Lookups!$H$30:$J$242,2,FALSE))</f>
        <v/>
      </c>
      <c r="F16" s="174" t="str">
        <f>IF(OR(ISBLANK(C16),ISBLANK(D16)),"",D16*VLOOKUP((IF(OR(C16="Residential urban land",C16="Commercial/industrial urban land",C16="Open urban land",C16="Greenspace",C16="Community food growing",C16="Woodland",C16="Shrub", C16="Water"), "|||"&amp;C16, (VLOOKUP('Stage 2'!$E$9,Lookups!$C$275:$D$275,2,FALSE)&amp;"|"&amp;C16&amp;"|"&amp;VLOOKUP('Stage 2'!$E$12,Lookups!$C$289:$D$290,2,FALSE)&amp;"|"&amp;VLOOKUP('Stage 2'!$E$11,Lookups!$C$246:$E$268,3,FALSE)&amp;"|"&amp;VLOOKUP('Stage 2'!$E$10,Lookups!$C$280:$E$285,2,FALSE)))),Lookups!$H$30:$J$242,3,FALSE))</f>
        <v/>
      </c>
      <c r="G16" s="118"/>
    </row>
    <row r="17" spans="1:7">
      <c r="A17" s="134"/>
      <c r="B17" s="1"/>
      <c r="C17" s="104"/>
      <c r="D17" s="105"/>
      <c r="E17" s="218" t="str">
        <f>IF(OR(ISBLANK(C17),ISBLANK(D17)),"",D17*VLOOKUP((IF(OR(C17="Residential urban land",C17="Commercial/industrial urban land",C17="Open urban land",C17="Greenspace",C17="Community food growing",C17="Woodland",C17="Shrub", C17="Water"), "|||"&amp;C17, (VLOOKUP('Stage 2'!$E$9,Lookups!$C$275:$D$275,2,FALSE)&amp;"|"&amp;C17&amp;"|"&amp;VLOOKUP('Stage 2'!$E$12,Lookups!$C$289:$D$290,2,FALSE)&amp;"|"&amp;VLOOKUP('Stage 2'!$E$11,Lookups!$C$246:$E$268,3,FALSE)&amp;"|"&amp;VLOOKUP('Stage 2'!$E$10,Lookups!$C$280:$E$285,2,FALSE)))),Lookups!$H$30:$J$242,2,FALSE))</f>
        <v/>
      </c>
      <c r="F17" s="174" t="str">
        <f>IF(OR(ISBLANK(C17),ISBLANK(D17)),"",D17*VLOOKUP((IF(OR(C17="Residential urban land",C17="Commercial/industrial urban land",C17="Open urban land",C17="Greenspace",C17="Community food growing",C17="Woodland",C17="Shrub", C17="Water"), "|||"&amp;C17, (VLOOKUP('Stage 2'!$E$9,Lookups!$C$275:$D$275,2,FALSE)&amp;"|"&amp;C17&amp;"|"&amp;VLOOKUP('Stage 2'!$E$12,Lookups!$C$289:$D$290,2,FALSE)&amp;"|"&amp;VLOOKUP('Stage 2'!$E$11,Lookups!$C$246:$E$268,3,FALSE)&amp;"|"&amp;VLOOKUP('Stage 2'!$E$10,Lookups!$C$280:$E$285,2,FALSE)))),Lookups!$H$30:$J$242,3,FALSE))</f>
        <v/>
      </c>
      <c r="G17" s="118"/>
    </row>
    <row r="18" spans="1:7">
      <c r="A18" s="134"/>
      <c r="B18" s="1"/>
      <c r="C18" s="104"/>
      <c r="D18" s="114"/>
      <c r="E18" s="218" t="str">
        <f>IF(OR(ISBLANK(C18),ISBLANK(D18)),"",D18*VLOOKUP((IF(OR(C18="Residential urban land",C18="Commercial/industrial urban land",C18="Open urban land",C18="Greenspace",C18="Community food growing",C18="Woodland",C18="Shrub", C18="Water"), "|||"&amp;C18, (VLOOKUP('Stage 2'!$E$9,Lookups!$C$275:$D$275,2,FALSE)&amp;"|"&amp;C18&amp;"|"&amp;VLOOKUP('Stage 2'!$E$12,Lookups!$C$289:$D$290,2,FALSE)&amp;"|"&amp;VLOOKUP('Stage 2'!$E$11,Lookups!$C$246:$E$268,3,FALSE)&amp;"|"&amp;VLOOKUP('Stage 2'!$E$10,Lookups!$C$280:$E$285,2,FALSE)))),Lookups!$H$30:$J$242,2,FALSE))</f>
        <v/>
      </c>
      <c r="F18" s="174" t="str">
        <f>IF(OR(ISBLANK(C18),ISBLANK(D18)),"",D18*VLOOKUP((IF(OR(C18="Residential urban land",C18="Commercial/industrial urban land",C18="Open urban land",C18="Greenspace",C18="Community food growing",C18="Woodland",C18="Shrub", C18="Water"), "|||"&amp;C18, (VLOOKUP('Stage 2'!$E$9,Lookups!$C$275:$D$275,2,FALSE)&amp;"|"&amp;C18&amp;"|"&amp;VLOOKUP('Stage 2'!$E$12,Lookups!$C$289:$D$290,2,FALSE)&amp;"|"&amp;VLOOKUP('Stage 2'!$E$11,Lookups!$C$246:$E$268,3,FALSE)&amp;"|"&amp;VLOOKUP('Stage 2'!$E$10,Lookups!$C$280:$E$285,2,FALSE)))),Lookups!$H$30:$J$242,3,FALSE))</f>
        <v/>
      </c>
      <c r="G18" s="118"/>
    </row>
    <row r="19" spans="1:7">
      <c r="A19" s="134"/>
      <c r="B19" s="1"/>
      <c r="C19" s="104"/>
      <c r="D19" s="114"/>
      <c r="E19" s="218" t="str">
        <f>IF(OR(ISBLANK(C19),ISBLANK(D19)),"",D19*VLOOKUP((IF(OR(C19="Residential urban land",C19="Commercial/industrial urban land",C19="Open urban land",C19="Greenspace",C19="Community food growing",C19="Woodland",C19="Shrub", C19="Water"), "|||"&amp;C19, (VLOOKUP('Stage 2'!$E$9,Lookups!$C$275:$D$275,2,FALSE)&amp;"|"&amp;C19&amp;"|"&amp;VLOOKUP('Stage 2'!$E$12,Lookups!$C$289:$D$290,2,FALSE)&amp;"|"&amp;VLOOKUP('Stage 2'!$E$11,Lookups!$C$246:$E$268,3,FALSE)&amp;"|"&amp;VLOOKUP('Stage 2'!$E$10,Lookups!$C$280:$E$285,2,FALSE)))),Lookups!$H$30:$J$242,2,FALSE))</f>
        <v/>
      </c>
      <c r="F19" s="174" t="str">
        <f>IF(OR(ISBLANK(C19),ISBLANK(D19)),"",D19*VLOOKUP((IF(OR(C19="Residential urban land",C19="Commercial/industrial urban land",C19="Open urban land",C19="Greenspace",C19="Community food growing",C19="Woodland",C19="Shrub", C19="Water"), "|||"&amp;C19, (VLOOKUP('Stage 2'!$E$9,Lookups!$C$275:$D$275,2,FALSE)&amp;"|"&amp;C19&amp;"|"&amp;VLOOKUP('Stage 2'!$E$12,Lookups!$C$289:$D$290,2,FALSE)&amp;"|"&amp;VLOOKUP('Stage 2'!$E$11,Lookups!$C$246:$E$268,3,FALSE)&amp;"|"&amp;VLOOKUP('Stage 2'!$E$10,Lookups!$C$280:$E$285,2,FALSE)))),Lookups!$H$30:$J$242,3,FALSE))</f>
        <v/>
      </c>
      <c r="G19" s="118"/>
    </row>
    <row r="20" spans="1:7">
      <c r="A20" s="134"/>
      <c r="B20" s="1"/>
      <c r="C20" s="104"/>
      <c r="D20" s="114"/>
      <c r="E20" s="218" t="str">
        <f>IF(OR(ISBLANK(C20),ISBLANK(D20)),"",D20*VLOOKUP((IF(OR(C20="Residential urban land",C20="Commercial/industrial urban land",C20="Open urban land",C20="Greenspace",C20="Community food growing",C20="Woodland",C20="Shrub", C20="Water"), "|||"&amp;C20, (VLOOKUP('Stage 2'!$E$9,Lookups!$C$275:$D$275,2,FALSE)&amp;"|"&amp;C20&amp;"|"&amp;VLOOKUP('Stage 2'!$E$12,Lookups!$C$289:$D$290,2,FALSE)&amp;"|"&amp;VLOOKUP('Stage 2'!$E$11,Lookups!$C$246:$E$268,3,FALSE)&amp;"|"&amp;VLOOKUP('Stage 2'!$E$10,Lookups!$C$280:$E$285,2,FALSE)))),Lookups!$H$30:$J$242,2,FALSE))</f>
        <v/>
      </c>
      <c r="F20" s="174" t="str">
        <f>IF(OR(ISBLANK(C20),ISBLANK(D20)),"",D20*VLOOKUP((IF(OR(C20="Residential urban land",C20="Commercial/industrial urban land",C20="Open urban land",C20="Greenspace",C20="Community food growing",C20="Woodland",C20="Shrub", C20="Water"), "|||"&amp;C20, (VLOOKUP('Stage 2'!$E$9,Lookups!$C$275:$D$275,2,FALSE)&amp;"|"&amp;C20&amp;"|"&amp;VLOOKUP('Stage 2'!$E$12,Lookups!$C$289:$D$290,2,FALSE)&amp;"|"&amp;VLOOKUP('Stage 2'!$E$11,Lookups!$C$246:$E$268,3,FALSE)&amp;"|"&amp;VLOOKUP('Stage 2'!$E$10,Lookups!$C$280:$E$285,2,FALSE)))),Lookups!$H$30:$J$242,3,FALSE))</f>
        <v/>
      </c>
      <c r="G20" s="118"/>
    </row>
    <row r="21" spans="1:7">
      <c r="A21" s="134"/>
      <c r="B21" s="1"/>
      <c r="C21" s="104"/>
      <c r="D21" s="114"/>
      <c r="E21" s="218" t="str">
        <f>IF(OR(ISBLANK(C21),ISBLANK(D21)),"",D21*VLOOKUP((IF(OR(C21="Residential urban land",C21="Commercial/industrial urban land",C21="Open urban land",C21="Greenspace",C21="Community food growing",C21="Woodland",C21="Shrub", C21="Water"), "|||"&amp;C21, (VLOOKUP('Stage 2'!$E$9,Lookups!$C$275:$D$275,2,FALSE)&amp;"|"&amp;C21&amp;"|"&amp;VLOOKUP('Stage 2'!$E$12,Lookups!$C$289:$D$290,2,FALSE)&amp;"|"&amp;VLOOKUP('Stage 2'!$E$11,Lookups!$C$246:$E$268,3,FALSE)&amp;"|"&amp;VLOOKUP('Stage 2'!$E$10,Lookups!$C$280:$E$285,2,FALSE)))),Lookups!$H$30:$J$242,2,FALSE))</f>
        <v/>
      </c>
      <c r="F21" s="174" t="str">
        <f>IF(OR(ISBLANK(C21),ISBLANK(D21)),"",D21*VLOOKUP((IF(OR(C21="Residential urban land",C21="Commercial/industrial urban land",C21="Open urban land",C21="Greenspace",C21="Community food growing",C21="Woodland",C21="Shrub", C21="Water"), "|||"&amp;C21, (VLOOKUP('Stage 2'!$E$9,Lookups!$C$275:$D$275,2,FALSE)&amp;"|"&amp;C21&amp;"|"&amp;VLOOKUP('Stage 2'!$E$12,Lookups!$C$289:$D$290,2,FALSE)&amp;"|"&amp;VLOOKUP('Stage 2'!$E$11,Lookups!$C$246:$E$268,3,FALSE)&amp;"|"&amp;VLOOKUP('Stage 2'!$E$10,Lookups!$C$280:$E$285,2,FALSE)))),Lookups!$H$30:$J$242,3,FALSE))</f>
        <v/>
      </c>
      <c r="G21" s="118"/>
    </row>
    <row r="22" spans="1:7">
      <c r="A22" s="134"/>
      <c r="B22" s="1"/>
      <c r="C22" s="104"/>
      <c r="D22" s="114"/>
      <c r="E22" s="218" t="str">
        <f>IF(OR(ISBLANK(C22),ISBLANK(D22)),"",D22*VLOOKUP((IF(OR(C22="Residential urban land",C22="Commercial/industrial urban land",C22="Open urban land",C22="Greenspace",C22="Community food growing",C22="Woodland",C22="Shrub", C22="Water"), "|||"&amp;C22, (VLOOKUP('Stage 2'!$E$9,Lookups!$C$275:$D$275,2,FALSE)&amp;"|"&amp;C22&amp;"|"&amp;VLOOKUP('Stage 2'!$E$12,Lookups!$C$289:$D$290,2,FALSE)&amp;"|"&amp;VLOOKUP('Stage 2'!$E$11,Lookups!$C$246:$E$268,3,FALSE)&amp;"|"&amp;VLOOKUP('Stage 2'!$E$10,Lookups!$C$280:$E$285,2,FALSE)))),Lookups!$H$30:$J$242,2,FALSE))</f>
        <v/>
      </c>
      <c r="F22" s="174" t="str">
        <f>IF(OR(ISBLANK(C22),ISBLANK(D22)),"",D22*VLOOKUP((IF(OR(C22="Residential urban land",C22="Commercial/industrial urban land",C22="Open urban land",C22="Greenspace",C22="Community food growing",C22="Woodland",C22="Shrub", C22="Water"), "|||"&amp;C22, (VLOOKUP('Stage 2'!$E$9,Lookups!$C$275:$D$275,2,FALSE)&amp;"|"&amp;C22&amp;"|"&amp;VLOOKUP('Stage 2'!$E$12,Lookups!$C$289:$D$290,2,FALSE)&amp;"|"&amp;VLOOKUP('Stage 2'!$E$11,Lookups!$C$246:$E$268,3,FALSE)&amp;"|"&amp;VLOOKUP('Stage 2'!$E$10,Lookups!$C$280:$E$285,2,FALSE)))),Lookups!$H$30:$J$242,3,FALSE))</f>
        <v/>
      </c>
      <c r="G22" s="118"/>
    </row>
    <row r="23" spans="1:7">
      <c r="A23" s="134"/>
      <c r="B23" s="1"/>
      <c r="C23" s="104"/>
      <c r="D23" s="115"/>
      <c r="E23" s="218" t="str">
        <f>IF(OR(ISBLANK(C23),ISBLANK(D23)),"",D23*VLOOKUP((IF(OR(C23="Residential urban land",C23="Commercial/industrial urban land",C23="Open urban land",C23="Greenspace",C23="Community food growing",C23="Woodland",C23="Shrub", C23="Water"), "|||"&amp;C23, (VLOOKUP('Stage 2'!$E$9,Lookups!$C$275:$D$275,2,FALSE)&amp;"|"&amp;C23&amp;"|"&amp;VLOOKUP('Stage 2'!$E$12,Lookups!$C$289:$D$290,2,FALSE)&amp;"|"&amp;VLOOKUP('Stage 2'!$E$11,Lookups!$C$246:$E$268,3,FALSE)&amp;"|"&amp;VLOOKUP('Stage 2'!$E$10,Lookups!$C$280:$E$285,2,FALSE)))),Lookups!$H$30:$J$242,2,FALSE))</f>
        <v/>
      </c>
      <c r="F23" s="174" t="str">
        <f>IF(OR(ISBLANK(C23),ISBLANK(D23)),"",D23*VLOOKUP((IF(OR(C23="Residential urban land",C23="Commercial/industrial urban land",C23="Open urban land",C23="Greenspace",C23="Community food growing",C23="Woodland",C23="Shrub", C23="Water"), "|||"&amp;C23, (VLOOKUP('Stage 2'!$E$9,Lookups!$C$275:$D$275,2,FALSE)&amp;"|"&amp;C23&amp;"|"&amp;VLOOKUP('Stage 2'!$E$12,Lookups!$C$289:$D$290,2,FALSE)&amp;"|"&amp;VLOOKUP('Stage 2'!$E$11,Lookups!$C$246:$E$268,3,FALSE)&amp;"|"&amp;VLOOKUP('Stage 2'!$E$10,Lookups!$C$280:$E$285,2,FALSE)))),Lookups!$H$30:$J$242,3,FALSE))</f>
        <v/>
      </c>
      <c r="G23" s="118"/>
    </row>
    <row r="24" spans="1:7">
      <c r="A24" s="134"/>
      <c r="B24" s="1"/>
      <c r="C24" s="104"/>
      <c r="D24" s="113"/>
      <c r="E24" s="218" t="str">
        <f>IF(OR(ISBLANK(C24),ISBLANK(D24)),"",D24*VLOOKUP((IF(OR(C24="Residential urban land",C24="Commercial/industrial urban land",C24="Open urban land",C24="Greenspace",C24="Community food growing",C24="Woodland",C24="Shrub", C24="Water"), "|||"&amp;C24, (VLOOKUP('Stage 2'!$E$9,Lookups!$C$275:$D$275,2,FALSE)&amp;"|"&amp;C24&amp;"|"&amp;VLOOKUP('Stage 2'!$E$12,Lookups!$C$289:$D$290,2,FALSE)&amp;"|"&amp;VLOOKUP('Stage 2'!$E$11,Lookups!$C$246:$E$268,3,FALSE)&amp;"|"&amp;VLOOKUP('Stage 2'!$E$10,Lookups!$C$280:$E$285,2,FALSE)))),Lookups!$H$30:$J$242,2,FALSE))</f>
        <v/>
      </c>
      <c r="F24" s="174" t="str">
        <f>IF(OR(ISBLANK(C24),ISBLANK(D24)),"",D24*VLOOKUP((IF(OR(C24="Residential urban land",C24="Commercial/industrial urban land",C24="Open urban land",C24="Greenspace",C24="Community food growing",C24="Woodland",C24="Shrub", C24="Water"), "|||"&amp;C24, (VLOOKUP('Stage 2'!$E$9,Lookups!$C$275:$D$275,2,FALSE)&amp;"|"&amp;C24&amp;"|"&amp;VLOOKUP('Stage 2'!$E$12,Lookups!$C$289:$D$290,2,FALSE)&amp;"|"&amp;VLOOKUP('Stage 2'!$E$11,Lookups!$C$246:$E$268,3,FALSE)&amp;"|"&amp;VLOOKUP('Stage 2'!$E$10,Lookups!$C$280:$E$285,2,FALSE)))),Lookups!$H$30:$J$242,3,FALSE))</f>
        <v/>
      </c>
      <c r="G24" s="118"/>
    </row>
    <row r="25" spans="1:7">
      <c r="A25" s="134"/>
      <c r="B25" s="1"/>
      <c r="C25" s="104"/>
      <c r="D25" s="113"/>
      <c r="E25" s="218" t="str">
        <f>IF(OR(ISBLANK(C25),ISBLANK(D25)),"",D25*VLOOKUP((IF(OR(C25="Residential urban land",C25="Commercial/industrial urban land",C25="Open urban land",C25="Greenspace",C25="Community food growing",C25="Woodland",C25="Shrub", C25="Water"), "|||"&amp;C25, (VLOOKUP('Stage 2'!$E$9,Lookups!$C$275:$D$275,2,FALSE)&amp;"|"&amp;C25&amp;"|"&amp;VLOOKUP('Stage 2'!$E$12,Lookups!$C$289:$D$290,2,FALSE)&amp;"|"&amp;VLOOKUP('Stage 2'!$E$11,Lookups!$C$246:$E$268,3,FALSE)&amp;"|"&amp;VLOOKUP('Stage 2'!$E$10,Lookups!$C$280:$E$285,2,FALSE)))),Lookups!$H$30:$J$242,2,FALSE))</f>
        <v/>
      </c>
      <c r="F25" s="174" t="str">
        <f>IF(OR(ISBLANK(C25),ISBLANK(D25)),"",D25*VLOOKUP((IF(OR(C25="Residential urban land",C25="Commercial/industrial urban land",C25="Open urban land",C25="Greenspace",C25="Community food growing",C25="Woodland",C25="Shrub", C25="Water"), "|||"&amp;C25, (VLOOKUP('Stage 2'!$E$9,Lookups!$C$275:$D$275,2,FALSE)&amp;"|"&amp;C25&amp;"|"&amp;VLOOKUP('Stage 2'!$E$12,Lookups!$C$289:$D$290,2,FALSE)&amp;"|"&amp;VLOOKUP('Stage 2'!$E$11,Lookups!$C$246:$E$268,3,FALSE)&amp;"|"&amp;VLOOKUP('Stage 2'!$E$10,Lookups!$C$280:$E$285,2,FALSE)))),Lookups!$H$30:$J$242,3,FALSE))</f>
        <v/>
      </c>
      <c r="G25" s="118"/>
    </row>
    <row r="26" spans="1:7" ht="15.75" thickBot="1">
      <c r="A26" s="134"/>
      <c r="B26" s="1"/>
      <c r="C26" s="116"/>
      <c r="D26" s="188"/>
      <c r="E26" s="219" t="str">
        <f>IF(OR(ISBLANK(C26),ISBLANK(D26)),"",D26*VLOOKUP((IF(OR(C26="Residential urban land",C26="Commercial/industrial urban land",C26="Open urban land",C26="Greenspace",C26="Community food growing",C26="Woodland",C26="Shrub", C26="Water"), "|||"&amp;C26, (VLOOKUP('Stage 2'!$E$9,Lookups!$C$275:$D$275,2,FALSE)&amp;"|"&amp;C26&amp;"|"&amp;VLOOKUP('Stage 2'!$E$12,Lookups!$C$289:$D$290,2,FALSE)&amp;"|"&amp;VLOOKUP('Stage 2'!$E$11,Lookups!$C$246:$E$268,3,FALSE)&amp;"|"&amp;VLOOKUP('Stage 2'!$E$10,Lookups!$C$280:$E$285,2,FALSE)))),Lookups!$H$30:$J$242,2,FALSE))</f>
        <v/>
      </c>
      <c r="F26" s="117" t="str">
        <f>IF(OR(ISBLANK(C26),ISBLANK(D26)),"",D26*VLOOKUP((IF(OR(C26="Residential urban land",C26="Commercial/industrial urban land",C26="Open urban land",C26="Greenspace",C26="Community food growing",C26="Woodland",C26="Shrub", C26="Water"), "|||"&amp;C26, (VLOOKUP('Stage 2'!$E$9,Lookups!$C$275:$D$275,2,FALSE)&amp;"|"&amp;C26&amp;"|"&amp;VLOOKUP('Stage 2'!$E$12,Lookups!$C$289:$D$290,2,FALSE)&amp;"|"&amp;VLOOKUP('Stage 2'!$E$11,Lookups!$C$246:$E$268,3,FALSE)&amp;"|"&amp;VLOOKUP('Stage 2'!$E$10,Lookups!$C$280:$E$285,2,FALSE)))),Lookups!$H$30:$J$242,3,FALSE))</f>
        <v/>
      </c>
      <c r="G26" s="118"/>
    </row>
    <row r="27" spans="1:7">
      <c r="A27" s="134"/>
      <c r="B27" s="1"/>
      <c r="C27" s="69" t="s">
        <v>115</v>
      </c>
      <c r="D27" s="126">
        <f>SUM(D10:D26)</f>
        <v>0</v>
      </c>
      <c r="E27" s="98">
        <f>SUM(E10:E26)</f>
        <v>0</v>
      </c>
      <c r="F27" s="99">
        <f>SUM(F10:F26)</f>
        <v>0</v>
      </c>
      <c r="G27" s="118"/>
    </row>
    <row r="28" spans="1:7" ht="15.75" thickBot="1">
      <c r="A28" s="134"/>
      <c r="B28" s="144"/>
      <c r="C28" s="131"/>
      <c r="D28" s="131"/>
      <c r="E28" s="131"/>
      <c r="F28" s="131"/>
      <c r="G28" s="132"/>
    </row>
    <row r="29" spans="1:7" ht="15.75" thickTop="1"/>
  </sheetData>
  <sheetProtection algorithmName="SHA-512" hashValue="ZI7Xa+gPy7m8UT4vr/REvgpP/hB1FWqa9DbBlFHtTLDY6IQpT3t8JJj/bK8V+W1i5RKeXR9g6gJ8LyS64tXumg==" saltValue="x47L0o7fYGK1UqJfaN0Wnw==" spinCount="100000" sheet="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362" yWindow="585" count="1">
    <dataValidation allowBlank="1" showInputMessage="1" showErrorMessage="1" prompt="Please enter area in hectares." sqref="D10:D26" xr:uid="{F230AB9C-8339-4373-B4B8-7B45A3D33AEE}"/>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362" yWindow="585" count="1">
        <x14:dataValidation type="list" allowBlank="1" showInputMessage="1" showErrorMessage="1" errorTitle="Landcover" error="Please select all pre exisitng landcover types." prompt="Select post-development land use types from the drop down list." xr:uid="{FA0D53B1-FD66-49E4-975D-2D0980FA619E}">
          <x14:formula1>
            <xm:f>Lookups!$G$281:$G$288</xm:f>
          </x14:formula1>
          <xm:sqref>C10:C26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dimension ref="B2:L33"/>
  <sheetViews>
    <sheetView showRowColHeaders="0" zoomScaleNormal="100" workbookViewId="0"/>
  </sheetViews>
  <sheetFormatPr defaultColWidth="9.28515625" defaultRowHeight="15"/>
  <cols>
    <col min="1" max="1" width="9.28515625" style="133"/>
    <col min="2" max="2" width="4.7109375" style="133" customWidth="1"/>
    <col min="3" max="3" width="30.42578125" style="133" customWidth="1"/>
    <col min="4" max="4" width="26.7109375" style="133" customWidth="1"/>
    <col min="5" max="5" width="9.28515625" style="133"/>
    <col min="6" max="6" width="22.28515625" style="133" customWidth="1"/>
    <col min="7" max="7" width="23.28515625" style="133" customWidth="1"/>
    <col min="8" max="10" width="9.28515625" style="133"/>
    <col min="11" max="11" width="7.28515625" style="133" customWidth="1"/>
    <col min="12" max="16384" width="9.28515625" style="133"/>
  </cols>
  <sheetData>
    <row r="2" spans="2:12" ht="15.75" thickBot="1"/>
    <row r="3" spans="2:12" ht="15.75" thickTop="1">
      <c r="B3" s="269" t="s">
        <v>119</v>
      </c>
      <c r="C3" s="270"/>
      <c r="D3" s="270"/>
      <c r="E3" s="270"/>
      <c r="F3" s="270"/>
      <c r="G3" s="270"/>
      <c r="H3" s="271"/>
    </row>
    <row r="4" spans="2:12">
      <c r="B4" s="259"/>
      <c r="C4" s="260"/>
      <c r="D4" s="260"/>
      <c r="E4" s="260"/>
      <c r="F4" s="260"/>
      <c r="G4" s="260"/>
      <c r="H4" s="261"/>
    </row>
    <row r="5" spans="2:12">
      <c r="B5" s="259"/>
      <c r="C5" s="260"/>
      <c r="D5" s="260"/>
      <c r="E5" s="260"/>
      <c r="F5" s="260"/>
      <c r="G5" s="260"/>
      <c r="H5" s="261"/>
    </row>
    <row r="6" spans="2:12" ht="17.25">
      <c r="B6" s="128"/>
      <c r="C6" s="1"/>
      <c r="D6" s="1"/>
      <c r="E6" s="1"/>
      <c r="F6" s="1"/>
      <c r="G6" s="1"/>
      <c r="H6" s="118"/>
      <c r="L6" s="136"/>
    </row>
    <row r="7" spans="2:12" ht="18">
      <c r="B7" s="128"/>
      <c r="C7" s="268" t="s">
        <v>120</v>
      </c>
      <c r="D7" s="268"/>
      <c r="E7" s="1"/>
      <c r="F7" s="1"/>
      <c r="G7" s="1"/>
      <c r="H7" s="118"/>
      <c r="L7" s="136"/>
    </row>
    <row r="8" spans="2:12" ht="18" hidden="1" customHeight="1">
      <c r="B8" s="128"/>
      <c r="C8" s="1"/>
      <c r="D8" s="1"/>
      <c r="E8" s="1"/>
      <c r="F8" s="1"/>
      <c r="G8" s="1"/>
      <c r="H8" s="160"/>
      <c r="I8" s="163"/>
      <c r="J8" s="164"/>
      <c r="L8" s="138"/>
    </row>
    <row r="9" spans="2:12" ht="12" hidden="1" customHeight="1">
      <c r="B9" s="128"/>
      <c r="C9" s="1"/>
      <c r="D9" s="1"/>
      <c r="E9" s="1"/>
      <c r="F9" s="1"/>
      <c r="G9" s="1"/>
      <c r="H9" s="161"/>
      <c r="I9" s="165"/>
      <c r="J9" s="166"/>
      <c r="L9" s="138"/>
    </row>
    <row r="10" spans="2:12" ht="18" hidden="1" thickBot="1">
      <c r="B10" s="128"/>
      <c r="C10" s="66" t="s">
        <v>121</v>
      </c>
      <c r="D10" s="93" t="str">
        <f>'Stage 1'!D29</f>
        <v/>
      </c>
      <c r="E10" s="22"/>
      <c r="F10" s="1"/>
      <c r="G10" s="1"/>
      <c r="H10" s="161"/>
      <c r="I10" s="165"/>
      <c r="J10" s="166"/>
      <c r="L10" s="138"/>
    </row>
    <row r="11" spans="2:12" ht="21" hidden="1" customHeight="1" thickBot="1">
      <c r="B11" s="128"/>
      <c r="C11" s="67" t="s">
        <v>122</v>
      </c>
      <c r="D11" s="94">
        <f>'Stage 3'!E27-'Stage 2'!E32</f>
        <v>0</v>
      </c>
      <c r="E11" s="24"/>
      <c r="F11" s="1"/>
      <c r="G11" s="1"/>
      <c r="H11" s="161"/>
      <c r="I11" s="167"/>
      <c r="J11" s="166"/>
      <c r="K11" s="136"/>
      <c r="L11" s="139"/>
    </row>
    <row r="12" spans="2:12" ht="18" hidden="1" thickBot="1">
      <c r="B12" s="128"/>
      <c r="C12" s="67" t="s">
        <v>123</v>
      </c>
      <c r="D12" s="63" t="e">
        <f>D10+D11</f>
        <v>#VALUE!</v>
      </c>
      <c r="E12" s="25"/>
      <c r="F12" s="1"/>
      <c r="G12" s="1"/>
      <c r="H12" s="141"/>
      <c r="I12" s="168"/>
      <c r="J12" s="138"/>
      <c r="K12" s="138"/>
      <c r="L12" s="139"/>
    </row>
    <row r="13" spans="2:12" ht="29.25" hidden="1" customHeight="1">
      <c r="B13" s="128"/>
      <c r="C13" s="15" t="s">
        <v>124</v>
      </c>
      <c r="D13" s="95" t="e">
        <f>D12*1.2</f>
        <v>#VALUE!</v>
      </c>
      <c r="E13" s="26"/>
      <c r="F13" s="1"/>
      <c r="G13" s="1"/>
      <c r="H13" s="143"/>
      <c r="I13" s="169"/>
      <c r="J13" s="139"/>
      <c r="K13" s="139"/>
    </row>
    <row r="14" spans="2:12" ht="11.25" hidden="1" customHeight="1">
      <c r="B14" s="128"/>
      <c r="C14" s="22"/>
      <c r="D14" s="162"/>
      <c r="E14" s="22"/>
      <c r="F14" s="1"/>
      <c r="G14" s="1"/>
      <c r="H14" s="118"/>
    </row>
    <row r="15" spans="2:12" hidden="1">
      <c r="B15" s="128"/>
      <c r="C15" s="22"/>
      <c r="D15" s="162"/>
      <c r="E15" s="22"/>
      <c r="F15" s="1"/>
      <c r="G15" s="1"/>
      <c r="H15" s="118"/>
    </row>
    <row r="16" spans="2:12" ht="15.75" hidden="1" thickBot="1">
      <c r="B16" s="128"/>
      <c r="C16" s="66" t="s">
        <v>125</v>
      </c>
      <c r="D16" s="93" t="str">
        <f>'Stage 1'!D34</f>
        <v/>
      </c>
      <c r="E16" s="22"/>
      <c r="F16" s="1"/>
      <c r="G16" s="1"/>
      <c r="H16" s="118"/>
    </row>
    <row r="17" spans="2:8" ht="15.75" hidden="1" thickBot="1">
      <c r="B17" s="128"/>
      <c r="C17" s="67" t="s">
        <v>126</v>
      </c>
      <c r="D17" s="96">
        <f>'Stage 3'!F27-'Stage 2'!F32</f>
        <v>0</v>
      </c>
      <c r="E17" s="22"/>
      <c r="F17" s="1"/>
      <c r="G17" s="1"/>
      <c r="H17" s="118"/>
    </row>
    <row r="18" spans="2:8" ht="15.75" hidden="1" thickBot="1">
      <c r="B18" s="128"/>
      <c r="C18" s="65" t="s">
        <v>127</v>
      </c>
      <c r="D18" s="83" t="e">
        <f>D16+D17</f>
        <v>#VALUE!</v>
      </c>
      <c r="E18" s="18"/>
      <c r="F18" s="1"/>
      <c r="G18" s="1"/>
      <c r="H18" s="118"/>
    </row>
    <row r="19" spans="2:8" hidden="1">
      <c r="B19" s="128"/>
      <c r="C19" s="15" t="s">
        <v>128</v>
      </c>
      <c r="D19" s="95" t="e">
        <f>D18*1.2</f>
        <v>#VALUE!</v>
      </c>
      <c r="E19" s="18"/>
      <c r="F19" s="1"/>
      <c r="G19" s="1"/>
      <c r="H19" s="118"/>
    </row>
    <row r="20" spans="2:8" ht="17.25">
      <c r="B20" s="128"/>
      <c r="C20" s="9"/>
      <c r="D20" s="11"/>
      <c r="E20" s="12"/>
      <c r="F20" s="1"/>
      <c r="G20" s="1"/>
      <c r="H20" s="118"/>
    </row>
    <row r="21" spans="2:8" ht="24.75" customHeight="1">
      <c r="B21" s="128"/>
      <c r="C21" s="272" t="str">
        <f>IFERROR(IF(AND('Stage 1'!$D$9&lt;DATE(2025,1,1),OR((VLOOKUP('Stage 1'!$D$13,Lookups!$C$8:$G$24,2,FALSE))&gt;(VLOOKUP('Stage 1'!$D$13,Lookups!$C$8:$G$24,4,FALSE)),(VLOOKUP('Stage 1'!$D$13,Lookups!$C$8:$G$24,3,FALSE))&gt;(VLOOKUP('Stage 1'!$D$13,Lookups!$C$8:$G$24,5,FALSE)))),"Post-2025 Annual Nutrient Budget","Annual Nutrient Budget"),"")</f>
        <v/>
      </c>
      <c r="D21" s="272"/>
      <c r="E21" s="12"/>
      <c r="F21" s="272" t="str">
        <f>IFERROR(IF(AND('Stage 1'!$D$9&lt;DATE(2025,1,1),OR((VLOOKUP('Stage 1'!$D$13,Lookups!$C$8:$G$24,2,FALSE))&gt;(VLOOKUP('Stage 1'!$D$13,Lookups!$C$8:$G$24,4,FALSE)),(VLOOKUP('Stage 1'!$D$13,Lookups!$C$8:$G$24,3,FALSE))&gt;(VLOOKUP('Stage 1'!$D$13,Lookups!$C$8:$G$24,5,FALSE)))),"Pre-2025 Annual Nutrient Budget",""),"")</f>
        <v/>
      </c>
      <c r="G21" s="272"/>
      <c r="H21" s="118"/>
    </row>
    <row r="22" spans="2:8" ht="15" customHeight="1">
      <c r="B22" s="128"/>
      <c r="C22" s="273" t="s">
        <v>129</v>
      </c>
      <c r="D22" s="275" t="e">
        <f>IF(ROUND(D13,2)&lt;0,0&amp;" kg TP/year",ROUND(D13,2)&amp;" kg TP/year")</f>
        <v>#VALUE!</v>
      </c>
      <c r="E22" s="1"/>
      <c r="F22" s="273" t="str">
        <f>IFERROR(IF(AND('Stage 1'!$D$9&lt;DATE(2025,1,1),OR((VLOOKUP('Stage 1'!$D$13,Lookups!$C$8:$G$24,2,FALSE))&gt;(VLOOKUP('Stage 1'!$D$13,Lookups!$C$8:$G$24,4,FALSE)),(VLOOKUP('Stage 1'!$D$13,Lookups!$C$8:$G$24,3,FALSE))&gt;(VLOOKUP('Stage 1'!$D$13,Lookups!$C$8:$G$24,5,FALSE)))),"The pre-2025 annual phosphorus load to mitigate is:",""),"")</f>
        <v/>
      </c>
      <c r="G22" s="274" t="str">
        <f>IFERROR(IF(AND('Stage 1'!$D$9&lt;DATE(2025,1,1),OR((VLOOKUP('Stage 1'!$D$13,Lookups!$C$8:$G$24,2,FALSE))&gt;(VLOOKUP('Stage 1'!$D$13,Lookups!$C$8:$G$24,4,FALSE)),(VLOOKUP('Stage 1'!$D$13,Lookups!$C$8:$G$24,3,FALSE))&gt;(VLOOKUP('Stage 1'!$D$13,Lookups!$C$8:$G$24,5,FALSE)))),IF(ROUND(('Stage 3'!E27-'Stage 2'!E32+'Stage 1'!H22)*1.2,2)&lt;0,0&amp;" kg TP/year",ROUND(('Stage 3'!E27-'Stage 2'!E32+'Stage 1'!H22)*1.2,2)&amp;" kg TP/year"),""),"")</f>
        <v/>
      </c>
      <c r="H22" s="118"/>
    </row>
    <row r="23" spans="2:8" ht="15" customHeight="1">
      <c r="B23" s="128"/>
      <c r="C23" s="273"/>
      <c r="D23" s="275"/>
      <c r="E23" s="1"/>
      <c r="F23" s="273"/>
      <c r="G23" s="274"/>
      <c r="H23" s="118"/>
    </row>
    <row r="24" spans="2:8" ht="15" customHeight="1">
      <c r="B24" s="128"/>
      <c r="C24" s="273"/>
      <c r="D24" s="275"/>
      <c r="E24" s="1"/>
      <c r="F24" s="273"/>
      <c r="G24" s="274"/>
      <c r="H24" s="118"/>
    </row>
    <row r="25" spans="2:8" ht="15" customHeight="1">
      <c r="B25" s="128"/>
      <c r="C25" s="273"/>
      <c r="D25" s="275"/>
      <c r="E25" s="1"/>
      <c r="F25" s="273"/>
      <c r="G25" s="274"/>
      <c r="H25" s="118"/>
    </row>
    <row r="26" spans="2:8" ht="15" customHeight="1">
      <c r="B26" s="128"/>
      <c r="C26" s="22"/>
      <c r="D26" s="52"/>
      <c r="E26" s="1"/>
      <c r="F26" s="1"/>
      <c r="G26" s="1"/>
      <c r="H26" s="118"/>
    </row>
    <row r="27" spans="2:8">
      <c r="B27" s="128"/>
      <c r="C27" s="22"/>
      <c r="D27" s="52"/>
      <c r="E27" s="1"/>
      <c r="F27" s="79"/>
      <c r="G27" s="1"/>
      <c r="H27" s="118"/>
    </row>
    <row r="28" spans="2:8" ht="15" customHeight="1">
      <c r="B28" s="128"/>
      <c r="C28" s="273" t="s">
        <v>130</v>
      </c>
      <c r="D28" s="275" t="e">
        <f>IF(ROUND(D19,2)&lt;0,0&amp;" kg TN/year",ROUND(D19,2)&amp;" kg TN/year")</f>
        <v>#VALUE!</v>
      </c>
      <c r="E28" s="1"/>
      <c r="F28" s="79"/>
      <c r="G28" s="274" t="str">
        <f>IFERROR(IF(AND('Stage 1'!$D$9&lt;DATE(2025,1,1),OR((VLOOKUP('Stage 1'!$D$13,Lookups!$C$8:$G$24,2,FALSE))&gt;(VLOOKUP('Stage 1'!$D$13,Lookups!$C$8:$G$24,4,FALSE)),(VLOOKUP('Stage 1'!$D$13,Lookups!$C$8:$G$24,3,FALSE))&gt;(VLOOKUP('Stage 1'!$D$13,Lookups!$C$8:$G$24,5,FALSE)))),IF(ROUND(('Stage 3'!F27-'Stage 2'!F32+'Stage 1'!H23)*1.2,2)&lt;0,0&amp;" kg TN/year",ROUND(('Stage 3'!F27-'Stage 2'!F32+'Stage 1'!H23)*1.2,2)&amp;" kg TN/year"),""),"")</f>
        <v/>
      </c>
      <c r="H28" s="118"/>
    </row>
    <row r="29" spans="2:8" ht="15.75" customHeight="1">
      <c r="B29" s="128"/>
      <c r="C29" s="273"/>
      <c r="D29" s="275"/>
      <c r="E29" s="1"/>
      <c r="F29" s="273" t="str">
        <f>IFERROR(IF(AND('Stage 1'!$D$9&lt;DATE(2025,1,1),OR((VLOOKUP('Stage 1'!$D$13,Lookups!$C$8:$G$24,2,FALSE))&gt;(VLOOKUP('Stage 1'!$D$13,Lookups!$C$8:$G$24,4,FALSE)),(VLOOKUP('Stage 1'!$D$13,Lookups!$C$8:$G$24,3,FALSE))&gt;(VLOOKUP('Stage 1'!$D$13,Lookups!$C$8:$G$24,5,FALSE)))),"The pre-2025 annual nitrogen load to mitigate is:",""),"")</f>
        <v/>
      </c>
      <c r="G29" s="274"/>
      <c r="H29" s="118"/>
    </row>
    <row r="30" spans="2:8" ht="15" customHeight="1">
      <c r="B30" s="128"/>
      <c r="C30" s="273"/>
      <c r="D30" s="275"/>
      <c r="E30" s="1"/>
      <c r="F30" s="273"/>
      <c r="G30" s="274"/>
      <c r="H30" s="118"/>
    </row>
    <row r="31" spans="2:8" ht="15.75" customHeight="1">
      <c r="B31" s="128"/>
      <c r="C31" s="273"/>
      <c r="D31" s="275"/>
      <c r="E31" s="1"/>
      <c r="F31" s="273"/>
      <c r="G31" s="274"/>
      <c r="H31" s="118"/>
    </row>
    <row r="32" spans="2:8" ht="15.75" thickBot="1">
      <c r="B32" s="144"/>
      <c r="C32" s="131"/>
      <c r="D32" s="131"/>
      <c r="E32" s="131"/>
      <c r="F32" s="131"/>
      <c r="G32" s="131"/>
      <c r="H32" s="132"/>
    </row>
    <row r="33" ht="15.75" thickTop="1"/>
  </sheetData>
  <sheetProtection algorithmName="SHA-512" hashValue="+mXTMK8XJ8yJ9jlX1MHFasWgd+mvDdQMJAR02XdzytvP15SbDKE5kZ2w4sm37mEfsW8m85kGCx7FZkNBCTGK9A==" saltValue="suhvYma0IQtPpTyVwuBLww==" spinCount="100000" sheet="1" selectLockedCells="1"/>
  <mergeCells count="12">
    <mergeCell ref="B3:H5"/>
    <mergeCell ref="C7:D7"/>
    <mergeCell ref="F21:G21"/>
    <mergeCell ref="F22:F25"/>
    <mergeCell ref="F29:F31"/>
    <mergeCell ref="G22:G25"/>
    <mergeCell ref="G28:G31"/>
    <mergeCell ref="C22:C25"/>
    <mergeCell ref="C28:C31"/>
    <mergeCell ref="D22:D25"/>
    <mergeCell ref="D28:D31"/>
    <mergeCell ref="C21:D21"/>
  </mergeCells>
  <conditionalFormatting sqref="G22:G25">
    <cfRule type="expression" dxfId="1" priority="2">
      <formula>($C$21="Post-2025 Annual Nutrient Budget")</formula>
    </cfRule>
  </conditionalFormatting>
  <conditionalFormatting sqref="G28:G31">
    <cfRule type="expression" dxfId="0" priority="1">
      <formula>($C$21="Post-2025 Annual Nutrient Budget")</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J9:J11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1709A144B6CB1247B0EB17D39170EEBB" ma:contentTypeVersion="13" ma:contentTypeDescription="Create a new document." ma:contentTypeScope="" ma:versionID="67ecd45f770d3e359dffe841dc5eb5e3">
  <xsd:schema xmlns:xsd="http://www.w3.org/2001/XMLSchema" xmlns:xs="http://www.w3.org/2001/XMLSchema" xmlns:p="http://schemas.microsoft.com/office/2006/metadata/properties" xmlns:ns2="662745e8-e224-48e8-a2e3-254862b8c2f5" xmlns:ns3="50608f39-3744-4f2b-8ddf-6077ea9dcf84" xmlns:ns4="41b1b97e-58d0-4f82-aacc-4a7d6fa43521" targetNamespace="http://schemas.microsoft.com/office/2006/metadata/properties" ma:root="true" ma:fieldsID="42e099b84febb67c73aa22ba39b9046a" ns2:_="" ns3:_="" ns4:_="">
    <xsd:import namespace="662745e8-e224-48e8-a2e3-254862b8c2f5"/>
    <xsd:import namespace="50608f39-3744-4f2b-8ddf-6077ea9dcf84"/>
    <xsd:import namespace="41b1b97e-58d0-4f82-aacc-4a7d6fa43521"/>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DateTaken" minOccurs="0"/>
                <xsd:element ref="ns3:MediaLengthInSeconds" minOccurs="0"/>
                <xsd:element ref="ns3: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19ba13cf-7d0b-4653-bdd4-d6cd8989d710}" ma:internalName="TaxCatchAll" ma:showField="CatchAllData"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19ba13cf-7d0b-4653-bdd4-d6cd8989d710}" ma:internalName="TaxCatchAllLabel" ma:readOnly="true" ma:showField="CatchAllDataLabel"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atural England Programmes" ma:internalName="Team">
      <xsd:simpleType>
        <xsd:restriction base="dms:Text"/>
      </xsd:simpleType>
    </xsd:element>
    <xsd:element name="Topic" ma:index="20" nillable="true" ma:displayName="Topic" ma:default="Strategic solutions"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08f39-3744-4f2b-8ddf-6077ea9dcf84"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MediaServiceDateTaken" ma:index="31" nillable="true" ma:displayName="MediaServiceDateTaken" ma:hidden="true" ma:internalName="MediaServiceDateTaken" ma:readOnly="true">
      <xsd:simpleType>
        <xsd:restriction base="dms:Text"/>
      </xsd:simpleType>
    </xsd:element>
    <xsd:element name="MediaLengthInSeconds" ma:index="32" nillable="true" ma:displayName="Length (seconds)" ma:internalName="MediaLengthInSeconds" ma:readOnly="true">
      <xsd:simpleType>
        <xsd:restriction base="dms:Unknown"/>
      </xsd:simpleType>
    </xsd:element>
    <xsd:element name="MediaServiceAutoTags" ma:index="33" nillable="true" ma:displayName="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b1b97e-58d0-4f82-aacc-4a7d6fa43521" elementFormDefault="qualified">
    <xsd:import namespace="http://schemas.microsoft.com/office/2006/documentManagement/types"/>
    <xsd:import namespace="http://schemas.microsoft.com/office/infopath/2007/PartnerControls"/>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Strategic solutions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Natural England Programmes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d1117845-93f6-4da3-abaa-fcb4fa669c78" ContentTypeId="0x010100A5BF1C78D9F64B679A5EBDE1C6598EBC01" PreviousValue="false"/>
</file>

<file path=customXml/itemProps1.xml><?xml version="1.0" encoding="utf-8"?>
<ds:datastoreItem xmlns:ds="http://schemas.openxmlformats.org/officeDocument/2006/customXml" ds:itemID="{8714CA37-1361-40E3-A2C8-78A52867021A}"/>
</file>

<file path=customXml/itemProps2.xml><?xml version="1.0" encoding="utf-8"?>
<ds:datastoreItem xmlns:ds="http://schemas.openxmlformats.org/officeDocument/2006/customXml" ds:itemID="{694ACC1F-E534-4195-96DD-2D3E7A928612}"/>
</file>

<file path=customXml/itemProps3.xml><?xml version="1.0" encoding="utf-8"?>
<ds:datastoreItem xmlns:ds="http://schemas.openxmlformats.org/officeDocument/2006/customXml" ds:itemID="{12B2BD08-75E5-4558-8B48-ACC2A461E089}"/>
</file>

<file path=customXml/itemProps4.xml><?xml version="1.0" encoding="utf-8"?>
<ds:datastoreItem xmlns:ds="http://schemas.openxmlformats.org/officeDocument/2006/customXml" ds:itemID="{B58E8FA1-0685-438E-A97E-4B18F0BA20E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Sealy, Declan</dc:creator>
  <cp:keywords/>
  <dc:description/>
  <cp:lastModifiedBy/>
  <cp:revision/>
  <dcterms:created xsi:type="dcterms:W3CDTF">2021-10-14T13:24:34Z</dcterms:created>
  <dcterms:modified xsi:type="dcterms:W3CDTF">2022-06-24T15:10:42Z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0x010100A5BF1C78D9F64B679A5EBDE1C6598EBC01001709A144B6CB1247B0EB17D39170EEBB</vt:lpwstr>
  </property>
  <property fmtid="{D5CDD505-2E9C-101B-9397-08002B2CF9AE}" pid="3" name="HOGovernmentSecurityClassification">
    <vt:lpwstr>6;#Official|14c80daa-741b-422c-9722-f71693c9ede4</vt:lpwstr>
  </property>
  <property fmtid="{D5CDD505-2E9C-101B-9397-08002B2CF9AE}" pid="4" name="InformationType">
    <vt:lpwstr/>
  </property>
  <property fmtid="{D5CDD505-2E9C-101B-9397-08002B2CF9AE}" pid="5" name="HOSiteType">
    <vt:lpwstr>10;#Team|ff0485df-0575-416f-802f-e999165821b7</vt:lpwstr>
  </property>
  <property fmtid="{D5CDD505-2E9C-101B-9397-08002B2CF9AE}" pid="6" name="Distribution">
    <vt:lpwstr>9;#Internal Defra Group|0867f7b3-e76e-40ca-bb1f-5ba341a49230</vt:lpwstr>
  </property>
  <property fmtid="{D5CDD505-2E9C-101B-9397-08002B2CF9AE}" pid="7" name="OrganisationalUnit">
    <vt:lpwstr>8;#NE|275df9ce-cd92-4318-adfe-db572e51c7ff</vt:lpwstr>
  </property>
  <property fmtid="{D5CDD505-2E9C-101B-9397-08002B2CF9AE}" pid="8" name="HOCopyrightLevel">
    <vt:lpwstr>7;#Crown|69589897-2828-4761-976e-717fd8e631c9</vt:lpwstr>
  </property>
</Properties>
</file>